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20" windowWidth="15135" windowHeight="9300" activeTab="1"/>
  </bookViews>
  <sheets>
    <sheet name="Pd Adjust" sheetId="4" r:id="rId1"/>
    <sheet name="Pd Adjust (SI)" sheetId="5" r:id="rId2"/>
  </sheets>
  <definedNames>
    <definedName name="_xlnm.Print_Area" localSheetId="0">'Pd Adjust'!$A$1:$H$33</definedName>
    <definedName name="_xlnm.Print_Area" localSheetId="1">'Pd Adjust (SI)'!$A$1:$H$33</definedName>
  </definedNames>
  <calcPr calcId="145621" calcOnSave="0"/>
</workbook>
</file>

<file path=xl/calcChain.xml><?xml version="1.0" encoding="utf-8"?>
<calcChain xmlns="http://schemas.openxmlformats.org/spreadsheetml/2006/main">
  <c r="V25" i="5" l="1"/>
  <c r="O25" i="5"/>
  <c r="O20" i="5"/>
  <c r="K25" i="5"/>
  <c r="R25" i="5" s="1"/>
  <c r="L24" i="5"/>
  <c r="K24" i="5"/>
  <c r="Q24" i="5" s="1"/>
  <c r="K23" i="5"/>
  <c r="J22" i="5"/>
  <c r="N22" i="5" s="1"/>
  <c r="K20" i="5"/>
  <c r="R20" i="5" s="1"/>
  <c r="L19" i="5"/>
  <c r="K19" i="5"/>
  <c r="V19" i="5" s="1"/>
  <c r="K18" i="5"/>
  <c r="J18" i="5"/>
  <c r="V18" i="5" s="1"/>
  <c r="K17" i="5"/>
  <c r="W18" i="5" s="1"/>
  <c r="J17" i="5"/>
  <c r="N17" i="5" s="1"/>
  <c r="V24" i="5" l="1"/>
  <c r="W24" i="5" s="1"/>
  <c r="V20" i="5"/>
  <c r="Q19" i="5"/>
  <c r="U19" i="5" s="1"/>
  <c r="S18" i="5"/>
  <c r="W19" i="5"/>
  <c r="W20" i="5"/>
  <c r="S20" i="5" s="1"/>
  <c r="T20" i="5" s="1"/>
  <c r="U20" i="5" s="1"/>
  <c r="H20" i="5" s="1"/>
  <c r="W25" i="5"/>
  <c r="S25" i="5" s="1"/>
  <c r="T25" i="5" s="1"/>
  <c r="U25" i="5" s="1"/>
  <c r="H25" i="5" s="1"/>
  <c r="U24" i="5"/>
  <c r="P24" i="5"/>
  <c r="P19" i="5"/>
  <c r="R18" i="5"/>
  <c r="K11" i="5"/>
  <c r="R11" i="5" s="1"/>
  <c r="L10" i="5"/>
  <c r="K10" i="5"/>
  <c r="P10" i="5" s="1"/>
  <c r="K9" i="5"/>
  <c r="J8" i="5"/>
  <c r="N8" i="5" s="1"/>
  <c r="V6" i="5"/>
  <c r="R6" i="5"/>
  <c r="L5" i="5"/>
  <c r="P5" i="5" s="1"/>
  <c r="K6" i="5"/>
  <c r="K5" i="5"/>
  <c r="V5" i="5" s="1"/>
  <c r="K4" i="5"/>
  <c r="J4" i="5"/>
  <c r="V4" i="5" s="1"/>
  <c r="K3" i="5"/>
  <c r="H24" i="5" l="1"/>
  <c r="H19" i="5"/>
  <c r="T18" i="5"/>
  <c r="H18" i="5" s="1"/>
  <c r="V11" i="5"/>
  <c r="Q10" i="5"/>
  <c r="U10" i="5" s="1"/>
  <c r="V10" i="5"/>
  <c r="Q5" i="5"/>
  <c r="U5" i="5" s="1"/>
  <c r="R4" i="5"/>
  <c r="W4" i="5"/>
  <c r="J3" i="5"/>
  <c r="N3" i="5" s="1"/>
  <c r="I27" i="4"/>
  <c r="I25" i="4"/>
  <c r="I24" i="4"/>
  <c r="I23" i="4"/>
  <c r="I20" i="4"/>
  <c r="I19" i="4"/>
  <c r="I18" i="4"/>
  <c r="I11" i="4"/>
  <c r="I10" i="4"/>
  <c r="I9" i="4"/>
  <c r="I5" i="4"/>
  <c r="B23" i="5" l="1"/>
  <c r="J23" i="5" s="1"/>
  <c r="W11" i="5"/>
  <c r="S11" i="5" s="1"/>
  <c r="O11" i="5"/>
  <c r="W10" i="5"/>
  <c r="H10" i="5" s="1"/>
  <c r="B9" i="5"/>
  <c r="J9" i="5" s="1"/>
  <c r="W6" i="5"/>
  <c r="O6" i="5"/>
  <c r="W5" i="5"/>
  <c r="H5" i="5" s="1"/>
  <c r="R25" i="4"/>
  <c r="S25" i="4" s="1"/>
  <c r="N25" i="4"/>
  <c r="K25" i="4"/>
  <c r="R24" i="4"/>
  <c r="S24" i="4" s="1"/>
  <c r="M24" i="4"/>
  <c r="L24" i="4"/>
  <c r="B23" i="4"/>
  <c r="N23" i="4" s="1"/>
  <c r="J22" i="4"/>
  <c r="R20" i="4"/>
  <c r="S20" i="4" s="1"/>
  <c r="N20" i="4"/>
  <c r="K20" i="4"/>
  <c r="R19" i="4"/>
  <c r="S19" i="4" s="1"/>
  <c r="M19" i="4"/>
  <c r="L19" i="4"/>
  <c r="R18" i="4"/>
  <c r="S18" i="4" s="1"/>
  <c r="N18" i="4"/>
  <c r="J17" i="4"/>
  <c r="M10" i="4"/>
  <c r="L10" i="4"/>
  <c r="K11" i="4"/>
  <c r="J8" i="4"/>
  <c r="J3" i="4"/>
  <c r="K6" i="4"/>
  <c r="R11" i="4"/>
  <c r="S11" i="4" s="1"/>
  <c r="O11" i="4" s="1"/>
  <c r="N11" i="4"/>
  <c r="R10" i="4"/>
  <c r="S10" i="4" s="1"/>
  <c r="B9" i="4"/>
  <c r="R9" i="4" s="1"/>
  <c r="S9" i="4" s="1"/>
  <c r="R6" i="4"/>
  <c r="S6" i="4" s="1"/>
  <c r="N6" i="4"/>
  <c r="R5" i="4"/>
  <c r="S5" i="4" s="1"/>
  <c r="M5" i="4"/>
  <c r="L5" i="4"/>
  <c r="R4" i="4"/>
  <c r="S4" i="4" s="1"/>
  <c r="N4" i="4"/>
  <c r="V9" i="5" l="1"/>
  <c r="W9" i="5" s="1"/>
  <c r="S9" i="5" s="1"/>
  <c r="R9" i="5"/>
  <c r="R23" i="5"/>
  <c r="V23" i="5"/>
  <c r="W23" i="5" s="1"/>
  <c r="S23" i="5" s="1"/>
  <c r="T11" i="5"/>
  <c r="U11" i="5" s="1"/>
  <c r="H11" i="5" s="1"/>
  <c r="S6" i="5"/>
  <c r="T6" i="5" s="1"/>
  <c r="U6" i="5" s="1"/>
  <c r="H6" i="5" s="1"/>
  <c r="Q24" i="4"/>
  <c r="R23" i="4"/>
  <c r="S23" i="4" s="1"/>
  <c r="O4" i="4"/>
  <c r="P4" i="4" s="1"/>
  <c r="O23" i="4"/>
  <c r="P23" i="4" s="1"/>
  <c r="H23" i="4" s="1"/>
  <c r="O25" i="4"/>
  <c r="O18" i="4"/>
  <c r="O20" i="4"/>
  <c r="Q19" i="4"/>
  <c r="H19" i="4" s="1"/>
  <c r="P25" i="4"/>
  <c r="Q25" i="4" s="1"/>
  <c r="H25" i="4" s="1"/>
  <c r="P18" i="4"/>
  <c r="H18" i="4" s="1"/>
  <c r="P20" i="4"/>
  <c r="Q20" i="4" s="1"/>
  <c r="H20" i="4" s="1"/>
  <c r="H24" i="4"/>
  <c r="O9" i="4"/>
  <c r="O6" i="4"/>
  <c r="P6" i="4" s="1"/>
  <c r="Q6" i="4" s="1"/>
  <c r="N9" i="4"/>
  <c r="Q5" i="4"/>
  <c r="H5" i="4" s="1"/>
  <c r="Q10" i="4"/>
  <c r="H10" i="4" s="1"/>
  <c r="P11" i="4"/>
  <c r="Q11" i="4" s="1"/>
  <c r="P9" i="4"/>
  <c r="T23" i="5" l="1"/>
  <c r="S4" i="5"/>
  <c r="T4" i="5" s="1"/>
  <c r="H4" i="5" s="1"/>
  <c r="T9" i="5"/>
  <c r="H9" i="5" s="1"/>
  <c r="H27" i="4"/>
  <c r="H9" i="4"/>
  <c r="H11" i="4"/>
  <c r="H4" i="4"/>
  <c r="I4" i="4" s="1"/>
  <c r="H6" i="4"/>
  <c r="I6" i="4" s="1"/>
  <c r="H23" i="5" l="1"/>
  <c r="H27" i="5" s="1"/>
  <c r="H13" i="5"/>
  <c r="H13" i="4"/>
  <c r="I13" i="4" s="1"/>
</calcChain>
</file>

<file path=xl/sharedStrings.xml><?xml version="1.0" encoding="utf-8"?>
<sst xmlns="http://schemas.openxmlformats.org/spreadsheetml/2006/main" count="253" uniqueCount="90">
  <si>
    <t>ID (inch) =&gt;</t>
  </si>
  <si>
    <t>K Factor</t>
  </si>
  <si>
    <t>included</t>
  </si>
  <si>
    <t>Area (ft2)</t>
  </si>
  <si>
    <t>Dia Ratio</t>
  </si>
  <si>
    <t>Press Drop Correction (ft)</t>
  </si>
  <si>
    <t>r/d or mitre=&gt;</t>
  </si>
  <si>
    <t>Reynolds Nbr</t>
  </si>
  <si>
    <t xml:space="preserve">Relative Roughness </t>
  </si>
  <si>
    <t>(inches)</t>
  </si>
  <si>
    <t>Fric factor</t>
  </si>
  <si>
    <t>Velocity (ft/sec)</t>
  </si>
  <si>
    <t>Upstream Dia (in)</t>
  </si>
  <si>
    <t>Length (of straight pipe)</t>
  </si>
  <si>
    <t>L/D</t>
  </si>
  <si>
    <t>r/d = 1</t>
  </si>
  <si>
    <t>r/d = 2</t>
  </si>
  <si>
    <t>r/d = 3</t>
  </si>
  <si>
    <t>r/d = 4</t>
  </si>
  <si>
    <t>r/d = 1.5</t>
  </si>
  <si>
    <r>
      <t>2 x 45</t>
    </r>
    <r>
      <rPr>
        <sz val="10"/>
        <rFont val="Calibri"/>
        <family val="2"/>
      </rPr>
      <t>°</t>
    </r>
    <r>
      <rPr>
        <sz val="10"/>
        <rFont val="Arial"/>
        <family val="2"/>
      </rPr>
      <t xml:space="preserve"> mitre</t>
    </r>
  </si>
  <si>
    <t>3 x 30° mitre</t>
  </si>
  <si>
    <t>6 x 15° mitre</t>
  </si>
  <si>
    <t>Elbow Section (if included - allowed for unit connections &gt; 4")</t>
  </si>
  <si>
    <t>Contraction or Enlargement Section (if included - allowed for unit connections &gt; 4")</t>
  </si>
  <si>
    <t>Inside Diameter at Static Pressure Measurement Location (inches)</t>
  </si>
  <si>
    <t>Nominal Size/ Sched</t>
  </si>
  <si>
    <t>ID</t>
  </si>
  <si>
    <t>Evaporator Piping</t>
  </si>
  <si>
    <t xml:space="preserve">Upstream Pipe, Water Temperature (F)  </t>
  </si>
  <si>
    <t xml:space="preserve">Downstream Pipe, Water Temperature (F)  </t>
  </si>
  <si>
    <t>Dwnstrm Dia (in)</t>
  </si>
  <si>
    <t>Flow Rate (gpm)</t>
  </si>
  <si>
    <t>dyn visc (lbm/ft/hr)</t>
  </si>
  <si>
    <t>calc angle (deg)</t>
  </si>
  <si>
    <t>Material Roughness (ft)</t>
  </si>
  <si>
    <t xml:space="preserve">Elbow Factors - </t>
  </si>
  <si>
    <t>Water Pressure Drop Adjustment Calculations - ref: 550/590 appendix G</t>
  </si>
  <si>
    <t>Condenser Piping</t>
  </si>
  <si>
    <t>1 1/4, 40 ST</t>
  </si>
  <si>
    <t>1 1/2, 40 ST</t>
  </si>
  <si>
    <t>1,     40 ST</t>
  </si>
  <si>
    <t>1/4,   40 ST</t>
  </si>
  <si>
    <t>3/8,   40 ST</t>
  </si>
  <si>
    <t>1/2,   40 ST</t>
  </si>
  <si>
    <t>3/4,   40 ST</t>
  </si>
  <si>
    <t>2,     40 ST</t>
  </si>
  <si>
    <t>2 1/2, 40 ST</t>
  </si>
  <si>
    <t>3,     40 ST</t>
  </si>
  <si>
    <t>4,     40 ST</t>
  </si>
  <si>
    <t>Typical Steel Pipe Diameters (in)</t>
  </si>
  <si>
    <t>6,     40 ST</t>
  </si>
  <si>
    <t>8,     40 ST</t>
  </si>
  <si>
    <t>10,    40 ST</t>
  </si>
  <si>
    <t>8,     30</t>
  </si>
  <si>
    <t>10,    30</t>
  </si>
  <si>
    <t>12,    30</t>
  </si>
  <si>
    <t>12,    40</t>
  </si>
  <si>
    <t>14,    30 ST</t>
  </si>
  <si>
    <t>14,    40</t>
  </si>
  <si>
    <t>16,    30 ST</t>
  </si>
  <si>
    <t>18,       ST</t>
  </si>
  <si>
    <t>12,       ST</t>
  </si>
  <si>
    <t>18,    30</t>
  </si>
  <si>
    <t>20,    20 ST</t>
  </si>
  <si>
    <t>20,    30 XS</t>
  </si>
  <si>
    <t>* Note: The pressure drop adjustment is limited to 10% of the pressure drop reading</t>
  </si>
  <si>
    <t>* Maximum Pressure Drop correction for the Evaporator (ft H2O) =</t>
  </si>
  <si>
    <t>* Maximum Pressure Drop correction for the Condenser (ft H2O) =</t>
  </si>
  <si>
    <t>Notes:</t>
  </si>
  <si>
    <t>Flow Tube Inside Diameter at Static Pressure Measurement Location (inches)</t>
  </si>
  <si>
    <t>1)  Length (of straight pipe) - the straight pipe length of the flow tube section between the static pressure taps and the unit connection. Do not include any lengths associated with an elbow or expansion/contraction section.</t>
  </si>
  <si>
    <t>2)  r/d or mitre - The worksheet calculates an adjustment for various 90 degree elbow fittings.  r/d = is the turn radius of the elbow divided by the inside diameter.   Mitre type elbows are allowed for mitres &lt;= 45 degrees.</t>
  </si>
  <si>
    <t>2 x 45° mitre</t>
  </si>
  <si>
    <t>Press Drop Correction (kPa)</t>
  </si>
  <si>
    <t xml:space="preserve">Upstream Pipe, Water Temperature (C)  </t>
  </si>
  <si>
    <t>Convert data to IP</t>
  </si>
  <si>
    <t>Flow Rate (l/s)</t>
  </si>
  <si>
    <t>Flow Tube Inside Diameter at Static Pressure Measurement Location (mm)</t>
  </si>
  <si>
    <t>(mm)</t>
  </si>
  <si>
    <t>Upstream Dia (mm)</t>
  </si>
  <si>
    <t>Dwnstrm Dia (mm)</t>
  </si>
  <si>
    <t>ID (mm) =&gt;</t>
  </si>
  <si>
    <t xml:space="preserve">Downstream Pipe, Water Temperature (C)  </t>
  </si>
  <si>
    <t>* Maximum Pressure Drop correction for the Evaporator (kPa) =</t>
  </si>
  <si>
    <t>Inside Diameter at Static Pressure Measurement Location (mm)</t>
  </si>
  <si>
    <t>Contraction or Enlargement Section (if included - allowed for unit connections &gt; 100mm)</t>
  </si>
  <si>
    <t>Elbow Section (if included - allowed for unit connections &gt; 100mm)</t>
  </si>
  <si>
    <t>* Maximum Pressure Drop correction for the Condenser (kPa) =</t>
  </si>
  <si>
    <t>Water Pressure Drop Adjustment Calculations - ref: 551/591 appendix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</si>
</sst>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readingOrder="1"/>
    </xf>
    <xf numFmtId="0" fontId="2" fillId="0" borderId="0" xfId="0" applyFont="1"/>
    <xf numFmtId="0" fontId="2" fillId="0" borderId="3" xfId="0" applyFont="1" applyBorder="1" applyAlignment="1">
      <alignment horizontal="right"/>
    </xf>
    <xf numFmtId="1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166" fontId="0" fillId="0" borderId="0" xfId="0" applyNumberFormat="1" applyFill="1" applyBorder="1"/>
    <xf numFmtId="166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/>
    <xf numFmtId="0" fontId="2" fillId="0" borderId="6" xfId="0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0" fontId="0" fillId="0" borderId="11" xfId="0" applyBorder="1"/>
    <xf numFmtId="0" fontId="5" fillId="0" borderId="0" xfId="0" applyFont="1"/>
    <xf numFmtId="165" fontId="0" fillId="0" borderId="0" xfId="0" applyNumberFormat="1" applyFill="1" applyBorder="1" applyAlignment="1">
      <alignment horizontal="center"/>
    </xf>
    <xf numFmtId="0" fontId="0" fillId="0" borderId="0" xfId="0" applyFill="1"/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0" fillId="4" borderId="2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6" fillId="0" borderId="6" xfId="0" applyFont="1" applyBorder="1"/>
    <xf numFmtId="165" fontId="0" fillId="0" borderId="7" xfId="0" applyNumberFormat="1" applyBorder="1" applyAlignment="1">
      <alignment horizontal="center"/>
    </xf>
    <xf numFmtId="0" fontId="6" fillId="0" borderId="6" xfId="0" applyFont="1" applyFill="1" applyBorder="1"/>
    <xf numFmtId="165" fontId="0" fillId="0" borderId="7" xfId="0" applyNumberForma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5" fontId="0" fillId="0" borderId="9" xfId="0" applyNumberForma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0" borderId="0" xfId="0" applyNumberFormat="1" applyAlignment="1">
      <alignment horizontal="center" wrapText="1"/>
    </xf>
    <xf numFmtId="0" fontId="2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6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workbookViewId="0">
      <selection activeCell="H4" sqref="H4"/>
    </sheetView>
  </sheetViews>
  <sheetFormatPr defaultRowHeight="12.75" x14ac:dyDescent="0.2"/>
  <cols>
    <col min="1" max="1" width="71.42578125" customWidth="1"/>
    <col min="3" max="3" width="20.85546875" customWidth="1"/>
    <col min="5" max="5" width="14.5703125" customWidth="1"/>
    <col min="6" max="6" width="11.85546875" customWidth="1"/>
    <col min="7" max="7" width="3" customWidth="1"/>
    <col min="8" max="9" width="12.7109375" customWidth="1"/>
    <col min="10" max="10" width="9.42578125" customWidth="1"/>
    <col min="11" max="11" width="7.42578125" customWidth="1"/>
    <col min="12" max="12" width="7.5703125" customWidth="1"/>
    <col min="13" max="13" width="8.5703125" customWidth="1"/>
    <col min="14" max="14" width="10.28515625" customWidth="1"/>
    <col min="16" max="16" width="8.42578125" customWidth="1"/>
    <col min="17" max="17" width="11.5703125" customWidth="1"/>
    <col min="18" max="18" width="7.85546875" customWidth="1"/>
    <col min="19" max="19" width="8.7109375" customWidth="1"/>
    <col min="20" max="20" width="10.140625" customWidth="1"/>
    <col min="21" max="21" width="20.28515625" customWidth="1"/>
    <col min="22" max="23" width="9.140625" customWidth="1"/>
    <col min="24" max="24" width="18.5703125" customWidth="1"/>
    <col min="25" max="26" width="9.140625" customWidth="1"/>
    <col min="30" max="30" width="10.5703125" customWidth="1"/>
  </cols>
  <sheetData>
    <row r="1" spans="1:31" ht="16.5" customHeight="1" thickBot="1" x14ac:dyDescent="0.3">
      <c r="A1" s="28" t="s">
        <v>37</v>
      </c>
    </row>
    <row r="2" spans="1:31" ht="39.75" customHeight="1" x14ac:dyDescent="0.2">
      <c r="A2" s="31" t="s">
        <v>28</v>
      </c>
      <c r="H2" s="6" t="s">
        <v>5</v>
      </c>
      <c r="I2" s="6" t="s">
        <v>74</v>
      </c>
      <c r="J2" s="15" t="s">
        <v>33</v>
      </c>
      <c r="K2" s="5" t="s">
        <v>14</v>
      </c>
      <c r="L2" s="6" t="s">
        <v>4</v>
      </c>
      <c r="M2" s="15" t="s">
        <v>34</v>
      </c>
      <c r="N2" s="6" t="s">
        <v>8</v>
      </c>
      <c r="O2" s="6" t="s">
        <v>7</v>
      </c>
      <c r="P2" s="6" t="s">
        <v>10</v>
      </c>
      <c r="Q2" s="6" t="s">
        <v>1</v>
      </c>
      <c r="R2" s="6" t="s">
        <v>3</v>
      </c>
      <c r="S2" s="6" t="s">
        <v>11</v>
      </c>
      <c r="T2" s="20"/>
      <c r="U2" s="20"/>
      <c r="V2" s="19"/>
      <c r="W2" s="19"/>
      <c r="X2" s="57" t="s">
        <v>50</v>
      </c>
      <c r="Y2" s="58"/>
      <c r="Z2" s="20"/>
      <c r="AA2" s="20"/>
      <c r="AB2" s="19"/>
      <c r="AC2" s="20"/>
      <c r="AD2" s="19"/>
      <c r="AE2" s="20"/>
    </row>
    <row r="3" spans="1:31" ht="13.5" thickBot="1" x14ac:dyDescent="0.25">
      <c r="A3" s="1" t="s">
        <v>29</v>
      </c>
      <c r="B3" s="53">
        <v>54</v>
      </c>
      <c r="C3" s="14" t="s">
        <v>32</v>
      </c>
      <c r="D3" s="53">
        <v>5000</v>
      </c>
      <c r="H3" s="6"/>
      <c r="I3" s="6"/>
      <c r="J3" s="13">
        <f>0.000000007222*B3^4-0.000004632*B3^3+0.001138*B3^2-0.1344*B3+7.588</f>
        <v>2.9808438224320009</v>
      </c>
      <c r="K3" s="5"/>
      <c r="L3" s="6"/>
      <c r="M3" s="15"/>
      <c r="N3" s="6"/>
      <c r="O3" s="6"/>
      <c r="P3" s="6"/>
      <c r="Q3" s="6"/>
      <c r="R3" s="6"/>
      <c r="S3" s="6"/>
      <c r="T3" s="20"/>
      <c r="U3" s="20"/>
      <c r="V3" s="21"/>
      <c r="W3" s="20"/>
      <c r="X3" s="43" t="s">
        <v>26</v>
      </c>
      <c r="Y3" s="44" t="s">
        <v>27</v>
      </c>
      <c r="Z3" s="20"/>
      <c r="AA3" s="20"/>
      <c r="AB3" s="20"/>
      <c r="AC3" s="20"/>
      <c r="AD3" s="19"/>
      <c r="AE3" s="20"/>
    </row>
    <row r="4" spans="1:31" ht="14.25" thickBot="1" x14ac:dyDescent="0.3">
      <c r="A4" s="8" t="s">
        <v>70</v>
      </c>
      <c r="B4" s="54">
        <v>13.25</v>
      </c>
      <c r="C4" s="14" t="s">
        <v>13</v>
      </c>
      <c r="D4" s="53">
        <v>14</v>
      </c>
      <c r="E4" t="s">
        <v>9</v>
      </c>
      <c r="H4" s="40">
        <f>P4*(D4/B4)*S4^2/2/32.174</f>
        <v>3.1202461655537077E-2</v>
      </c>
      <c r="I4" s="29">
        <f>H4*0.4331/0.145078</f>
        <v>9.3148417699534775E-2</v>
      </c>
      <c r="J4" s="29"/>
      <c r="N4" s="16">
        <f>12*$V$4/B4</f>
        <v>1.3584905660377357E-4</v>
      </c>
      <c r="O4" s="10">
        <f>3600*62.4*S4*B4/12/$J$3</f>
        <v>968145.23128974659</v>
      </c>
      <c r="P4" s="11">
        <f>0.25/(LOG(N4/3.7+5.74/O4^0.9))^2</f>
        <v>1.4037692775783064E-2</v>
      </c>
      <c r="Q4" s="12"/>
      <c r="R4" s="4">
        <f>PI()*B4^2/4/144</f>
        <v>0.95754489626017025</v>
      </c>
      <c r="S4" s="4">
        <f>$D$3/7.48/60/R4</f>
        <v>11.634775568081929</v>
      </c>
      <c r="T4" s="20"/>
      <c r="U4" s="33" t="s">
        <v>35</v>
      </c>
      <c r="V4" s="27">
        <v>1.4999999999999999E-4</v>
      </c>
      <c r="W4" s="20"/>
      <c r="X4" s="45" t="s">
        <v>42</v>
      </c>
      <c r="Y4" s="46">
        <v>0.36399999999999999</v>
      </c>
      <c r="Z4" s="20"/>
      <c r="AA4" s="20"/>
      <c r="AB4" s="20"/>
      <c r="AC4" s="20"/>
      <c r="AD4" s="19"/>
      <c r="AE4" s="20"/>
    </row>
    <row r="5" spans="1:31" ht="14.25" thickBot="1" x14ac:dyDescent="0.3">
      <c r="A5" s="8" t="s">
        <v>24</v>
      </c>
      <c r="B5" s="55" t="s">
        <v>2</v>
      </c>
      <c r="C5" s="14" t="s">
        <v>12</v>
      </c>
      <c r="D5" s="54">
        <v>13.25</v>
      </c>
      <c r="E5" s="14" t="s">
        <v>31</v>
      </c>
      <c r="F5" s="54">
        <v>15.25</v>
      </c>
      <c r="H5" s="40">
        <f>Q5*S5^2/2/32.174</f>
        <v>7.3981457173765031E-2</v>
      </c>
      <c r="I5" s="29">
        <f t="shared" ref="I5:I6" si="0">H5*0.4331/0.145078</f>
        <v>0.22085615394448252</v>
      </c>
      <c r="J5" s="29"/>
      <c r="L5" s="4">
        <f>IF(F5&gt;D5,D5/F5,F5/D5)</f>
        <v>0.86885245901639341</v>
      </c>
      <c r="M5" s="4">
        <f>IF(MIN(D5,F5)&lt;=4, 0,IF(MIN(D5,F5)&lt;20,56.5-2.3*MIN(D5,F5),10))</f>
        <v>26.025000000000002</v>
      </c>
      <c r="N5" s="17"/>
      <c r="P5" s="12"/>
      <c r="Q5" s="12">
        <f>IF(AND(M5&lt;=45,F5&gt;D5),2.6*SIN(RADIANS(M5)/2)*(1-L5^2)^2, IF(AND(M5&gt;45,F5&gt;D5),(1-L5^2)^2,IF(AND(M5&lt;=45,D5&gt;F5),0.8*SIN(RADIANS(M5)/2)*(1-L5^2)/L5^4,IF(AND(M5&gt;45,D5&gt;F5),0.5*(1-L5^2)*SIN(RADIANS(M5)/2)^0.5/L5^4,0))))</f>
        <v>3.5167533816027725E-2</v>
      </c>
      <c r="R5" s="4">
        <f>PI()*D5^2/4/144</f>
        <v>0.95754489626017025</v>
      </c>
      <c r="S5" s="4">
        <f>IF(B5="included",$D$3/7.48/60/R5,0)</f>
        <v>11.634775568081929</v>
      </c>
      <c r="X5" s="45" t="s">
        <v>43</v>
      </c>
      <c r="Y5" s="46">
        <v>0.49299999999999999</v>
      </c>
      <c r="Z5" s="20"/>
      <c r="AA5" s="20"/>
      <c r="AB5" s="20"/>
      <c r="AC5" s="20"/>
      <c r="AD5" s="19"/>
      <c r="AE5" s="20"/>
    </row>
    <row r="6" spans="1:31" ht="13.5" x14ac:dyDescent="0.25">
      <c r="A6" s="8" t="s">
        <v>23</v>
      </c>
      <c r="B6" s="55" t="s">
        <v>2</v>
      </c>
      <c r="C6" s="2" t="s">
        <v>0</v>
      </c>
      <c r="D6" s="54">
        <v>13.25</v>
      </c>
      <c r="E6" s="9" t="s">
        <v>6</v>
      </c>
      <c r="F6" s="55" t="s">
        <v>73</v>
      </c>
      <c r="G6" s="14"/>
      <c r="H6" s="40">
        <f>Q6*S6^2/2/32.174</f>
        <v>0.885927036291142</v>
      </c>
      <c r="I6" s="29">
        <f t="shared" si="0"/>
        <v>2.6447497168260767</v>
      </c>
      <c r="J6" s="29"/>
      <c r="K6" s="18">
        <f>VLOOKUP(F6,$U$6:$V$14,2,FALSE)</f>
        <v>30</v>
      </c>
      <c r="M6" s="3"/>
      <c r="N6" s="16">
        <f>12*$V$4/D6</f>
        <v>1.3584905660377357E-4</v>
      </c>
      <c r="O6" s="10">
        <f>3600*62.4*S6*D6/12/$J$3</f>
        <v>968145.23128974659</v>
      </c>
      <c r="P6" s="11">
        <f>IF(B6="included",0.25/(LOG(N6/3.7+5.74/O6^0.9))^2,0)</f>
        <v>1.4037692775783064E-2</v>
      </c>
      <c r="Q6" s="12">
        <f>K6*P6</f>
        <v>0.4211307832734919</v>
      </c>
      <c r="R6" s="4">
        <f>PI()*D6^2/4/144</f>
        <v>0.95754489626017025</v>
      </c>
      <c r="S6" s="4">
        <f>IF(B6="included",$D$3/7.48/60/R6,0)</f>
        <v>11.634775568081929</v>
      </c>
      <c r="U6" s="35" t="s">
        <v>36</v>
      </c>
      <c r="V6" s="34" t="s">
        <v>14</v>
      </c>
      <c r="X6" s="47" t="s">
        <v>44</v>
      </c>
      <c r="Y6" s="46">
        <v>0.622</v>
      </c>
      <c r="Z6" s="20"/>
      <c r="AA6" s="20"/>
      <c r="AB6" s="20"/>
      <c r="AC6" s="20"/>
      <c r="AD6" s="19"/>
      <c r="AE6" s="20"/>
    </row>
    <row r="7" spans="1:31" ht="13.5" x14ac:dyDescent="0.25">
      <c r="E7" s="2"/>
      <c r="I7" s="30"/>
      <c r="J7" s="30"/>
      <c r="N7" s="17"/>
      <c r="P7" s="12"/>
      <c r="Q7" s="12"/>
      <c r="U7" s="24" t="s">
        <v>15</v>
      </c>
      <c r="V7" s="36">
        <v>20</v>
      </c>
      <c r="X7" s="47" t="s">
        <v>45</v>
      </c>
      <c r="Y7" s="48">
        <v>0.82399999999999995</v>
      </c>
      <c r="Z7" s="20"/>
      <c r="AA7" s="20"/>
      <c r="AB7" s="20"/>
      <c r="AC7" s="20"/>
      <c r="AD7" s="20"/>
      <c r="AE7" s="20"/>
    </row>
    <row r="8" spans="1:31" ht="13.5" x14ac:dyDescent="0.25">
      <c r="A8" s="1" t="s">
        <v>30</v>
      </c>
      <c r="B8" s="53">
        <v>44</v>
      </c>
      <c r="E8" s="2"/>
      <c r="I8" s="30"/>
      <c r="J8" s="13">
        <f>0.000000007222*B8^4-0.000004632*B8^3+0.001138*B8^2-0.1344*B8+7.588</f>
        <v>3.510064461312</v>
      </c>
      <c r="N8" s="17"/>
      <c r="P8" s="12"/>
      <c r="Q8" s="12"/>
      <c r="U8" s="24" t="s">
        <v>19</v>
      </c>
      <c r="V8" s="36">
        <v>14</v>
      </c>
      <c r="X8" s="47" t="s">
        <v>41</v>
      </c>
      <c r="Y8" s="48">
        <v>1.0489999999999999</v>
      </c>
      <c r="Z8" s="20"/>
      <c r="AA8" s="20"/>
      <c r="AB8" s="20"/>
      <c r="AC8" s="20"/>
      <c r="AD8" s="19"/>
      <c r="AE8" s="20"/>
    </row>
    <row r="9" spans="1:31" ht="13.5" x14ac:dyDescent="0.25">
      <c r="A9" s="8" t="s">
        <v>25</v>
      </c>
      <c r="B9" s="32">
        <f>B4</f>
        <v>13.25</v>
      </c>
      <c r="C9" s="14" t="s">
        <v>13</v>
      </c>
      <c r="D9" s="53">
        <v>14</v>
      </c>
      <c r="E9" t="s">
        <v>9</v>
      </c>
      <c r="H9" s="40">
        <f>P9*(D9/B9)*S9^2/2/32.174</f>
        <v>3.1591665105781278E-2</v>
      </c>
      <c r="I9" s="29">
        <f t="shared" ref="I9:I11" si="1">H9*0.4331/0.145078</f>
        <v>9.4310303128757433E-2</v>
      </c>
      <c r="J9" s="29"/>
      <c r="N9" s="16">
        <f>12*$V$4/B9</f>
        <v>1.3584905660377357E-4</v>
      </c>
      <c r="O9" s="10">
        <f>3600*62.4*S9*B9/12/$J$8</f>
        <v>822175.70751630794</v>
      </c>
      <c r="P9" s="11">
        <f>0.25/(LOG(N9/3.7+5.74/O9^0.9))^2</f>
        <v>1.4212791731824348E-2</v>
      </c>
      <c r="Q9" s="12"/>
      <c r="R9" s="4">
        <f>PI()*B9^2/4/144</f>
        <v>0.95754489626017025</v>
      </c>
      <c r="S9" s="4">
        <f>$D$3/7.48/60/R9</f>
        <v>11.634775568081929</v>
      </c>
      <c r="T9" s="4"/>
      <c r="U9" s="24" t="s">
        <v>16</v>
      </c>
      <c r="V9" s="36">
        <v>12</v>
      </c>
      <c r="X9" s="47" t="s">
        <v>39</v>
      </c>
      <c r="Y9" s="48">
        <v>1.38</v>
      </c>
      <c r="Z9" s="20"/>
      <c r="AA9" s="20"/>
      <c r="AB9" s="20"/>
      <c r="AC9" s="20"/>
      <c r="AD9" s="19"/>
      <c r="AE9" s="20"/>
    </row>
    <row r="10" spans="1:31" ht="13.5" x14ac:dyDescent="0.25">
      <c r="A10" s="8" t="s">
        <v>24</v>
      </c>
      <c r="B10" s="55" t="s">
        <v>2</v>
      </c>
      <c r="C10" s="14" t="s">
        <v>12</v>
      </c>
      <c r="D10" s="54">
        <v>15.25</v>
      </c>
      <c r="E10" s="14" t="s">
        <v>31</v>
      </c>
      <c r="F10" s="54">
        <v>13.25</v>
      </c>
      <c r="H10" s="40">
        <f>Q10*S10^2/2/32.174</f>
        <v>9.287618155991216E-2</v>
      </c>
      <c r="I10" s="29">
        <f t="shared" si="1"/>
        <v>0.27726239838981753</v>
      </c>
      <c r="J10" s="29"/>
      <c r="L10" s="4">
        <f>IF(F10&gt;D10,D10/F10,F10/D10)</f>
        <v>0.86885245901639341</v>
      </c>
      <c r="M10" s="4">
        <f>IF(MIN(D10,F10)&lt;=4, 0,IF(MIN(D10,F10)&lt;20,56.5-2.3*MIN(D10,F10),10))</f>
        <v>26.025000000000002</v>
      </c>
      <c r="N10" s="17"/>
      <c r="P10" s="12"/>
      <c r="Q10" s="12">
        <f>IF(AND(M10&lt;=45,F10&gt;D10),2.6*SIN(RADIANS(M10)/2)*(1-L10^2)^2, IF(AND(M10&gt;45,F10&gt;D10),(1-L10^2)^2,IF(AND(M10&lt;=45,D10&gt;F10),0.8*SIN(RADIANS(M10)/2)*(1-L10^2)/L10^4,IF(AND(M10&gt;45,D10&gt;F10),0.5*(1-L10^2)*SIN(RADIANS(M10)/2)^0.5/L10^4,0))))</f>
        <v>7.7471015017912481E-2</v>
      </c>
      <c r="R10" s="4">
        <f>PI()*D10^2/4/144</f>
        <v>1.2684316692716602</v>
      </c>
      <c r="S10" s="4">
        <f>IF(B10="included",$D$3/7.48/60/R10,0)</f>
        <v>8.7831455444079918</v>
      </c>
      <c r="T10" s="4"/>
      <c r="U10" s="24" t="s">
        <v>17</v>
      </c>
      <c r="V10" s="36">
        <v>12</v>
      </c>
      <c r="X10" s="47" t="s">
        <v>40</v>
      </c>
      <c r="Y10" s="48">
        <v>1.61</v>
      </c>
      <c r="Z10" s="20"/>
      <c r="AA10" s="20"/>
      <c r="AB10" s="20"/>
      <c r="AC10" s="20"/>
      <c r="AD10" s="19"/>
      <c r="AE10" s="20"/>
    </row>
    <row r="11" spans="1:31" ht="13.5" x14ac:dyDescent="0.25">
      <c r="A11" s="8" t="s">
        <v>23</v>
      </c>
      <c r="B11" s="55" t="s">
        <v>2</v>
      </c>
      <c r="C11" s="2" t="s">
        <v>0</v>
      </c>
      <c r="D11" s="54">
        <v>13.25</v>
      </c>
      <c r="E11" s="9" t="s">
        <v>6</v>
      </c>
      <c r="F11" s="55" t="s">
        <v>73</v>
      </c>
      <c r="G11" s="14"/>
      <c r="H11" s="40">
        <f>Q11*S11^2/2/32.174</f>
        <v>0.89697763425343247</v>
      </c>
      <c r="I11" s="29">
        <f t="shared" si="1"/>
        <v>2.6777389638343623</v>
      </c>
      <c r="J11" s="29"/>
      <c r="K11" s="18">
        <f>VLOOKUP(F11,$U$6:$V$14,2,FALSE)</f>
        <v>30</v>
      </c>
      <c r="M11" s="3"/>
      <c r="N11" s="16">
        <f>12*$V$4/D11</f>
        <v>1.3584905660377357E-4</v>
      </c>
      <c r="O11" s="10">
        <f>3600*62.4*S11*D11/12/$J$8</f>
        <v>822175.70751630794</v>
      </c>
      <c r="P11" s="11">
        <f>IF(B11="included",0.25/(LOG(N11/3.7+5.74/O11^0.9))^2,0)</f>
        <v>1.4212791731824348E-2</v>
      </c>
      <c r="Q11" s="12">
        <f>K11*P11</f>
        <v>0.42638375195473044</v>
      </c>
      <c r="R11" s="4">
        <f>PI()*D11^2/4/144</f>
        <v>0.95754489626017025</v>
      </c>
      <c r="S11" s="4">
        <f>IF(B11="included",$D$3/7.48/60/R11,0)</f>
        <v>11.634775568081929</v>
      </c>
      <c r="T11" s="4"/>
      <c r="U11" s="24" t="s">
        <v>18</v>
      </c>
      <c r="V11" s="36">
        <v>14</v>
      </c>
      <c r="X11" s="47" t="s">
        <v>46</v>
      </c>
      <c r="Y11" s="48">
        <v>2.0670000000000002</v>
      </c>
      <c r="Z11" s="20"/>
      <c r="AA11" s="20"/>
      <c r="AB11" s="20"/>
      <c r="AC11" s="20"/>
      <c r="AD11" s="20"/>
      <c r="AE11" s="20"/>
    </row>
    <row r="12" spans="1:31" ht="14.25" thickBot="1" x14ac:dyDescent="0.3">
      <c r="E12" s="2"/>
      <c r="N12" s="17"/>
      <c r="P12" s="12"/>
      <c r="Q12" s="12"/>
      <c r="R12" s="4"/>
      <c r="S12" s="4"/>
      <c r="T12" s="4"/>
      <c r="U12" s="24" t="s">
        <v>20</v>
      </c>
      <c r="V12" s="36">
        <v>30</v>
      </c>
      <c r="X12" s="47" t="s">
        <v>47</v>
      </c>
      <c r="Y12" s="48">
        <v>2.4689999999999999</v>
      </c>
      <c r="Z12" s="20"/>
      <c r="AA12" s="20"/>
      <c r="AB12" s="20"/>
      <c r="AC12" s="20"/>
      <c r="AD12" s="20"/>
      <c r="AE12" s="20"/>
    </row>
    <row r="13" spans="1:31" ht="14.25" thickBot="1" x14ac:dyDescent="0.3">
      <c r="E13" s="2"/>
      <c r="G13" s="14" t="s">
        <v>67</v>
      </c>
      <c r="H13" s="39">
        <f>SUM(H4:H11)</f>
        <v>2.0125564360395702</v>
      </c>
      <c r="I13" s="29">
        <f>H13*0.4331/0.145078</f>
        <v>6.0080659538230314</v>
      </c>
      <c r="L13" s="3"/>
      <c r="M13" s="3"/>
      <c r="N13" s="16"/>
      <c r="O13" s="10"/>
      <c r="P13" s="11"/>
      <c r="Q13" s="12"/>
      <c r="R13" s="4"/>
      <c r="S13" s="4"/>
      <c r="T13" s="4"/>
      <c r="U13" s="25" t="s">
        <v>21</v>
      </c>
      <c r="V13" s="36">
        <v>24</v>
      </c>
      <c r="X13" s="45" t="s">
        <v>48</v>
      </c>
      <c r="Y13" s="48">
        <v>3.0680000000000001</v>
      </c>
      <c r="Z13" s="20"/>
      <c r="AA13" s="20"/>
      <c r="AB13" s="20"/>
      <c r="AC13" s="20"/>
      <c r="AD13" s="20"/>
      <c r="AE13" s="20"/>
    </row>
    <row r="14" spans="1:31" ht="14.25" thickBot="1" x14ac:dyDescent="0.3">
      <c r="A14" s="3"/>
      <c r="B14" s="3"/>
      <c r="C14" s="3"/>
      <c r="N14" s="17"/>
      <c r="T14" s="4"/>
      <c r="U14" s="26" t="s">
        <v>22</v>
      </c>
      <c r="V14" s="37">
        <v>24</v>
      </c>
      <c r="X14" s="45" t="s">
        <v>49</v>
      </c>
      <c r="Y14" s="48">
        <v>4.0259999999999998</v>
      </c>
      <c r="Z14" s="20"/>
      <c r="AA14" s="20"/>
      <c r="AB14" s="20"/>
      <c r="AC14" s="20"/>
      <c r="AD14" s="20"/>
      <c r="AE14" s="20"/>
    </row>
    <row r="15" spans="1:31" ht="13.5" x14ac:dyDescent="0.25">
      <c r="A15" s="38"/>
      <c r="B15" s="3"/>
      <c r="C15" s="3"/>
      <c r="N15" s="17"/>
      <c r="T15" s="20"/>
      <c r="U15" s="20"/>
      <c r="V15" s="20"/>
      <c r="W15" s="20"/>
      <c r="X15" s="45" t="s">
        <v>51</v>
      </c>
      <c r="Y15" s="48">
        <v>6.0650000000000004</v>
      </c>
      <c r="Z15" s="20"/>
      <c r="AA15" s="20"/>
      <c r="AB15" s="20"/>
      <c r="AC15" s="20"/>
      <c r="AD15" s="20"/>
      <c r="AE15" s="20"/>
    </row>
    <row r="16" spans="1:31" ht="39" x14ac:dyDescent="0.25">
      <c r="A16" s="31" t="s">
        <v>38</v>
      </c>
      <c r="H16" s="6" t="s">
        <v>5</v>
      </c>
      <c r="I16" s="6" t="s">
        <v>74</v>
      </c>
      <c r="J16" s="15" t="s">
        <v>33</v>
      </c>
      <c r="K16" s="5" t="s">
        <v>14</v>
      </c>
      <c r="L16" s="6" t="s">
        <v>4</v>
      </c>
      <c r="M16" s="15" t="s">
        <v>34</v>
      </c>
      <c r="N16" s="6" t="s">
        <v>8</v>
      </c>
      <c r="O16" s="6" t="s">
        <v>7</v>
      </c>
      <c r="P16" s="6" t="s">
        <v>10</v>
      </c>
      <c r="Q16" s="6" t="s">
        <v>1</v>
      </c>
      <c r="R16" s="6" t="s">
        <v>3</v>
      </c>
      <c r="S16" s="6" t="s">
        <v>11</v>
      </c>
      <c r="T16" s="20"/>
      <c r="W16" s="20"/>
      <c r="X16" s="45" t="s">
        <v>54</v>
      </c>
      <c r="Y16" s="48">
        <v>8.0709999999999997</v>
      </c>
      <c r="Z16" s="20"/>
      <c r="AA16" s="20"/>
      <c r="AB16" s="20"/>
      <c r="AC16" s="20"/>
      <c r="AD16" s="20"/>
      <c r="AE16" s="20"/>
    </row>
    <row r="17" spans="1:31" ht="13.5" x14ac:dyDescent="0.25">
      <c r="A17" s="1" t="s">
        <v>29</v>
      </c>
      <c r="B17" s="53">
        <v>85</v>
      </c>
      <c r="C17" s="14" t="s">
        <v>32</v>
      </c>
      <c r="D17" s="53">
        <v>6000</v>
      </c>
      <c r="H17" s="6"/>
      <c r="I17" s="6"/>
      <c r="J17" s="13">
        <f>0.000000007222*B17^4-0.000004632*B17^3+0.001138*B17^2-0.1344*B17+7.588</f>
        <v>1.9184159137500005</v>
      </c>
      <c r="K17" s="5"/>
      <c r="L17" s="6"/>
      <c r="M17" s="15"/>
      <c r="N17" s="6"/>
      <c r="O17" s="6"/>
      <c r="P17" s="6"/>
      <c r="Q17" s="6"/>
      <c r="R17" s="6"/>
      <c r="S17" s="6"/>
      <c r="T17" s="20"/>
      <c r="W17" s="20"/>
      <c r="X17" s="45" t="s">
        <v>52</v>
      </c>
      <c r="Y17" s="49">
        <v>7.9809999999999999</v>
      </c>
      <c r="Z17" s="20"/>
      <c r="AA17" s="20"/>
      <c r="AB17" s="20"/>
      <c r="AC17" s="20"/>
      <c r="AD17" s="20"/>
      <c r="AE17" s="20"/>
    </row>
    <row r="18" spans="1:31" ht="13.5" x14ac:dyDescent="0.25">
      <c r="A18" s="8" t="s">
        <v>25</v>
      </c>
      <c r="B18" s="54">
        <v>13.25</v>
      </c>
      <c r="C18" s="14" t="s">
        <v>13</v>
      </c>
      <c r="D18" s="53">
        <v>14</v>
      </c>
      <c r="E18" t="s">
        <v>9</v>
      </c>
      <c r="H18" s="40">
        <f>P18*(D18/B18)*S18^2/2/32.174</f>
        <v>4.3281741669877687E-2</v>
      </c>
      <c r="I18" s="29">
        <f t="shared" ref="I18:I20" si="2">H18*0.4331/0.145078</f>
        <v>0.12920857964146201</v>
      </c>
      <c r="J18" s="29"/>
      <c r="N18" s="16">
        <f>12*$V$4/B18</f>
        <v>1.3584905660377357E-4</v>
      </c>
      <c r="O18" s="10">
        <f>3600*62.4*S18*B18/12/$J$17</f>
        <v>1805170.4291375796</v>
      </c>
      <c r="P18" s="11">
        <f>0.25/(LOG(N18/3.7+5.74/O18^0.9))^2</f>
        <v>1.3522254693973187E-2</v>
      </c>
      <c r="Q18" s="12"/>
      <c r="R18" s="4">
        <f>PI()*B18^2/4/144</f>
        <v>0.95754489626017025</v>
      </c>
      <c r="S18" s="4">
        <f>$D$17/7.48/60/R18</f>
        <v>13.961730681698317</v>
      </c>
      <c r="T18" s="20"/>
      <c r="W18" s="20"/>
      <c r="X18" s="45" t="s">
        <v>55</v>
      </c>
      <c r="Y18" s="46">
        <v>10.135999999999999</v>
      </c>
      <c r="Z18" s="20"/>
      <c r="AA18" s="20"/>
      <c r="AB18" s="20"/>
      <c r="AC18" s="20"/>
      <c r="AD18" s="20"/>
      <c r="AE18" s="20"/>
    </row>
    <row r="19" spans="1:31" ht="13.5" x14ac:dyDescent="0.25">
      <c r="A19" s="8" t="s">
        <v>24</v>
      </c>
      <c r="B19" s="55" t="s">
        <v>2</v>
      </c>
      <c r="C19" s="14" t="s">
        <v>12</v>
      </c>
      <c r="D19" s="55">
        <v>13.25</v>
      </c>
      <c r="E19" s="14" t="s">
        <v>31</v>
      </c>
      <c r="F19" s="55">
        <v>15.25</v>
      </c>
      <c r="H19" s="40">
        <f>Q19*S19^2/2/32.174</f>
        <v>0.10653329833022164</v>
      </c>
      <c r="I19" s="29">
        <f t="shared" si="2"/>
        <v>0.31803286168005479</v>
      </c>
      <c r="J19" s="29"/>
      <c r="L19" s="4">
        <f>IF(F19&gt;D19,D19/F19,F19/D19)</f>
        <v>0.86885245901639341</v>
      </c>
      <c r="M19" s="4">
        <f>IF(MIN(D19,F19)&lt;=4, 0,IF(MIN(D19,F19)&lt;20,56.5-2.3*MIN(D19,F19),10))</f>
        <v>26.025000000000002</v>
      </c>
      <c r="N19" s="17"/>
      <c r="P19" s="12"/>
      <c r="Q19" s="12">
        <f>IF(AND(M19&lt;=45,F19&gt;D19),2.6*SIN(RADIANS(M19)/2)*(1-L19^2)^2, IF(AND(M19&gt;45,F19&gt;D19),(1-L19^2)^2,IF(AND(M19&lt;=45,D19&gt;F19),0.8*SIN(RADIANS(M19)/2)*(1-L19^2)/L19^4,IF(AND(M19&gt;45,D19&gt;F19),0.5*(1-L19^2)*SIN(RADIANS(M19)/2)^0.5/L19^4,0))))</f>
        <v>3.5167533816027725E-2</v>
      </c>
      <c r="R19" s="4">
        <f>PI()*D19^2/4/144</f>
        <v>0.95754489626017025</v>
      </c>
      <c r="S19" s="4">
        <f>IF(B19="included",$D$17/7.48/60/R19,0)</f>
        <v>13.961730681698317</v>
      </c>
      <c r="T19" s="20"/>
      <c r="W19" s="20"/>
      <c r="X19" s="50" t="s">
        <v>53</v>
      </c>
      <c r="Y19" s="49">
        <v>10.02</v>
      </c>
      <c r="Z19" s="20"/>
      <c r="AA19" s="20"/>
      <c r="AB19" s="20"/>
      <c r="AC19" s="20"/>
      <c r="AD19" s="20"/>
      <c r="AE19" s="20"/>
    </row>
    <row r="20" spans="1:31" ht="13.5" x14ac:dyDescent="0.25">
      <c r="A20" s="8" t="s">
        <v>23</v>
      </c>
      <c r="B20" s="55" t="s">
        <v>2</v>
      </c>
      <c r="C20" s="2" t="s">
        <v>0</v>
      </c>
      <c r="D20" s="55">
        <v>13.25</v>
      </c>
      <c r="E20" s="9" t="s">
        <v>6</v>
      </c>
      <c r="F20" s="55" t="s">
        <v>73</v>
      </c>
      <c r="G20" s="14"/>
      <c r="H20" s="40">
        <f>Q20*S20^2/2/32.174</f>
        <v>1.2288923081268843</v>
      </c>
      <c r="I20" s="29">
        <f t="shared" si="2"/>
        <v>3.6686007433915102</v>
      </c>
      <c r="J20" s="29"/>
      <c r="K20" s="18">
        <f>VLOOKUP(F20,$U$6:$V$14,2,FALSE)</f>
        <v>30</v>
      </c>
      <c r="M20" s="3"/>
      <c r="N20" s="16">
        <f>12*$V$4/D20</f>
        <v>1.3584905660377357E-4</v>
      </c>
      <c r="O20" s="10">
        <f>3600*62.4*S20*D20/12/$J$17</f>
        <v>1805170.4291375796</v>
      </c>
      <c r="P20" s="11">
        <f>IF(B20="included",0.25/(LOG(N20/3.7+5.74/O20^0.9))^2,0)</f>
        <v>1.3522254693973187E-2</v>
      </c>
      <c r="Q20" s="12">
        <f>K20*P20</f>
        <v>0.4056676408191956</v>
      </c>
      <c r="R20" s="4">
        <f>PI()*D20^2/4/144</f>
        <v>0.95754489626017025</v>
      </c>
      <c r="S20" s="4">
        <f>IF(B20="included",$D$17/7.48/60/R20,0)</f>
        <v>13.961730681698317</v>
      </c>
      <c r="T20" s="20"/>
      <c r="W20" s="20"/>
      <c r="X20" s="50" t="s">
        <v>56</v>
      </c>
      <c r="Y20" s="46">
        <v>12.09</v>
      </c>
      <c r="Z20" s="20"/>
      <c r="AA20" s="20"/>
      <c r="AB20" s="20"/>
      <c r="AC20" s="20"/>
      <c r="AD20" s="20"/>
      <c r="AE20" s="20"/>
    </row>
    <row r="21" spans="1:31" ht="13.5" x14ac:dyDescent="0.25">
      <c r="E21" s="2"/>
      <c r="I21" s="30"/>
      <c r="J21" s="30"/>
      <c r="N21" s="17"/>
      <c r="P21" s="12"/>
      <c r="Q21" s="12"/>
      <c r="T21" s="20"/>
      <c r="W21" s="20"/>
      <c r="X21" s="50" t="s">
        <v>62</v>
      </c>
      <c r="Y21" s="46">
        <v>12</v>
      </c>
      <c r="Z21" s="20"/>
      <c r="AA21" s="20"/>
      <c r="AB21" s="20"/>
      <c r="AC21" s="20"/>
      <c r="AD21" s="20"/>
      <c r="AE21" s="20"/>
    </row>
    <row r="22" spans="1:31" ht="13.5" x14ac:dyDescent="0.25">
      <c r="A22" s="1" t="s">
        <v>30</v>
      </c>
      <c r="B22" s="53">
        <v>95</v>
      </c>
      <c r="E22" s="2"/>
      <c r="I22" s="30"/>
      <c r="J22" s="13">
        <f>0.000000007222*B22^4-0.000004632*B22^3+0.001138*B22^2-0.1344*B22+7.588</f>
        <v>1.7073254137499996</v>
      </c>
      <c r="N22" s="17"/>
      <c r="P22" s="12"/>
      <c r="Q22" s="12"/>
      <c r="T22" s="20"/>
      <c r="W22" s="20"/>
      <c r="X22" s="50" t="s">
        <v>57</v>
      </c>
      <c r="Y22" s="46">
        <v>11.938000000000001</v>
      </c>
      <c r="Z22" s="20"/>
      <c r="AA22" s="20"/>
      <c r="AB22" s="20"/>
      <c r="AC22" s="20"/>
      <c r="AD22" s="20"/>
      <c r="AE22" s="20"/>
    </row>
    <row r="23" spans="1:31" ht="13.5" x14ac:dyDescent="0.25">
      <c r="A23" s="8" t="s">
        <v>25</v>
      </c>
      <c r="B23" s="32">
        <f>B18</f>
        <v>13.25</v>
      </c>
      <c r="C23" s="14" t="s">
        <v>13</v>
      </c>
      <c r="D23" s="53">
        <v>14</v>
      </c>
      <c r="E23" t="s">
        <v>9</v>
      </c>
      <c r="H23" s="40">
        <f>P23*(D23/B23)*S23^2/2/32.174</f>
        <v>4.3046331251286894E-2</v>
      </c>
      <c r="I23" s="29">
        <f t="shared" ref="I23:I25" si="3">H23*0.4331/0.145078</f>
        <v>0.1285058111149337</v>
      </c>
      <c r="J23" s="29"/>
      <c r="N23" s="16">
        <f>12*$V$4/B23</f>
        <v>1.3584905660377357E-4</v>
      </c>
      <c r="O23" s="10">
        <f>3600*62.4*S23*B23/12/$J$22</f>
        <v>2028358.3026402141</v>
      </c>
      <c r="P23" s="11">
        <f>0.25/(LOG(N23/3.7+5.74/O23^0.9))^2</f>
        <v>1.3448706830255517E-2</v>
      </c>
      <c r="Q23" s="12"/>
      <c r="R23" s="4">
        <f>PI()*B23^2/4/144</f>
        <v>0.95754489626017025</v>
      </c>
      <c r="S23" s="4">
        <f>$D$17/7.48/60/R23</f>
        <v>13.961730681698317</v>
      </c>
      <c r="T23" s="20"/>
      <c r="W23" s="20"/>
      <c r="X23" s="50" t="s">
        <v>58</v>
      </c>
      <c r="Y23" s="46">
        <v>13.25</v>
      </c>
      <c r="Z23" s="20"/>
      <c r="AA23" s="20"/>
      <c r="AB23" s="20"/>
      <c r="AC23" s="20"/>
      <c r="AD23" s="20"/>
      <c r="AE23" s="20"/>
    </row>
    <row r="24" spans="1:31" ht="13.5" x14ac:dyDescent="0.25">
      <c r="A24" s="8" t="s">
        <v>24</v>
      </c>
      <c r="B24" s="55" t="s">
        <v>2</v>
      </c>
      <c r="C24" s="14" t="s">
        <v>12</v>
      </c>
      <c r="D24" s="55">
        <v>15.25</v>
      </c>
      <c r="E24" s="14" t="s">
        <v>31</v>
      </c>
      <c r="F24" s="55">
        <v>13.25</v>
      </c>
      <c r="H24" s="40">
        <f>Q24*S24^2/2/32.174</f>
        <v>0.13374170144627356</v>
      </c>
      <c r="I24" s="29">
        <f t="shared" si="3"/>
        <v>0.39925785368133748</v>
      </c>
      <c r="J24" s="29"/>
      <c r="L24" s="4">
        <f>IF(F24&gt;D24,D24/F24,F24/D24)</f>
        <v>0.86885245901639341</v>
      </c>
      <c r="M24" s="4">
        <f>IF(MIN(D24,F24)&lt;=4, 0,IF(MIN(D24,F24)&lt;20,56.5-2.3*MIN(D24,F24),10))</f>
        <v>26.025000000000002</v>
      </c>
      <c r="N24" s="17"/>
      <c r="P24" s="12"/>
      <c r="Q24" s="12">
        <f>IF(AND(M24&lt;=45,F24&gt;D24),2.6*SIN(RADIANS(M24)/2)*(1-L24^2)^2, IF(AND(M24&gt;45,F24&gt;D24),(1-L24^2)^2,IF(AND(M24&lt;=45,D24&gt;F24),0.8*SIN(RADIANS(M24)/2)*(1-L24^2)/L24^4,IF(AND(M24&gt;45,D24&gt;F24),0.5*(1-L24^2)*SIN(RADIANS(M24)/2)^0.5/L24^4,0))))</f>
        <v>7.7471015017912481E-2</v>
      </c>
      <c r="R24" s="4">
        <f>PI()*D24^2/4/144</f>
        <v>1.2684316692716602</v>
      </c>
      <c r="S24" s="4">
        <f>IF(B24="included",$D$17/7.48/60/R24,0)</f>
        <v>10.539774653289593</v>
      </c>
      <c r="T24" s="20"/>
      <c r="W24" s="20"/>
      <c r="X24" s="50" t="s">
        <v>59</v>
      </c>
      <c r="Y24" s="46">
        <v>13.125999999999999</v>
      </c>
      <c r="Z24" s="20"/>
      <c r="AA24" s="20"/>
      <c r="AB24" s="20"/>
      <c r="AC24" s="20"/>
      <c r="AD24" s="20"/>
      <c r="AE24" s="20"/>
    </row>
    <row r="25" spans="1:31" ht="13.5" x14ac:dyDescent="0.25">
      <c r="A25" s="8" t="s">
        <v>23</v>
      </c>
      <c r="B25" s="55" t="s">
        <v>2</v>
      </c>
      <c r="C25" s="2" t="s">
        <v>0</v>
      </c>
      <c r="D25" s="55">
        <v>13.25</v>
      </c>
      <c r="E25" s="9" t="s">
        <v>6</v>
      </c>
      <c r="F25" s="55" t="s">
        <v>73</v>
      </c>
      <c r="G25" s="14"/>
      <c r="H25" s="40">
        <f>Q25*S25^2/2/32.174</f>
        <v>1.2222083337418959</v>
      </c>
      <c r="I25" s="29">
        <f t="shared" si="3"/>
        <v>3.6486471370132967</v>
      </c>
      <c r="J25" s="29"/>
      <c r="K25" s="18">
        <f>VLOOKUP(F25,$U$6:$V$14,2,FALSE)</f>
        <v>30</v>
      </c>
      <c r="M25" s="3"/>
      <c r="N25" s="16">
        <f>12*$V$4/D25</f>
        <v>1.3584905660377357E-4</v>
      </c>
      <c r="O25" s="10">
        <f>3600*62.4*S25*D25/12/$J$22</f>
        <v>2028358.3026402141</v>
      </c>
      <c r="P25" s="11">
        <f>IF(B25="included",0.25/(LOG(N25/3.7+5.74/O25^0.9))^2,0)</f>
        <v>1.3448706830255517E-2</v>
      </c>
      <c r="Q25" s="12">
        <f>K25*P25</f>
        <v>0.40346120490766552</v>
      </c>
      <c r="R25" s="4">
        <f>PI()*D25^2/4/144</f>
        <v>0.95754489626017025</v>
      </c>
      <c r="S25" s="4">
        <f>IF(B25="included",$D$17/7.48/60/R25,0)</f>
        <v>13.961730681698317</v>
      </c>
      <c r="T25" s="20"/>
      <c r="W25" s="20"/>
      <c r="X25" s="50" t="s">
        <v>60</v>
      </c>
      <c r="Y25" s="48">
        <v>15.25</v>
      </c>
      <c r="Z25" s="20"/>
      <c r="AA25" s="20"/>
      <c r="AB25" s="20"/>
      <c r="AC25" s="20"/>
      <c r="AD25" s="20"/>
      <c r="AE25" s="20"/>
    </row>
    <row r="26" spans="1:31" ht="14.25" thickBot="1" x14ac:dyDescent="0.3">
      <c r="E26" s="2"/>
      <c r="N26" s="17"/>
      <c r="P26" s="12"/>
      <c r="Q26" s="12"/>
      <c r="R26" s="4"/>
      <c r="S26" s="4"/>
      <c r="T26" s="20"/>
      <c r="W26" s="20"/>
      <c r="X26" s="50" t="s">
        <v>61</v>
      </c>
      <c r="Y26" s="48">
        <v>17.25</v>
      </c>
      <c r="Z26" s="20"/>
      <c r="AA26" s="20"/>
      <c r="AB26" s="20"/>
      <c r="AC26" s="20"/>
      <c r="AD26" s="20"/>
      <c r="AE26" s="20"/>
    </row>
    <row r="27" spans="1:31" ht="14.25" thickBot="1" x14ac:dyDescent="0.3">
      <c r="E27" s="2"/>
      <c r="G27" s="14" t="s">
        <v>68</v>
      </c>
      <c r="H27" s="39">
        <f>SUM(H18:H25)</f>
        <v>2.7777037145664401</v>
      </c>
      <c r="I27" s="29">
        <f>H27*0.4331/0.145078</f>
        <v>8.2922529865225947</v>
      </c>
      <c r="L27" s="3"/>
      <c r="M27" s="3"/>
      <c r="N27" s="16"/>
      <c r="O27" s="10"/>
      <c r="P27" s="11"/>
      <c r="Q27" s="12"/>
      <c r="R27" s="4"/>
      <c r="S27" s="4"/>
      <c r="T27" s="20"/>
      <c r="W27" s="20"/>
      <c r="X27" s="50" t="s">
        <v>63</v>
      </c>
      <c r="Y27" s="48">
        <v>17.126000000000001</v>
      </c>
      <c r="Z27" s="20"/>
      <c r="AA27" s="20"/>
      <c r="AB27" s="20"/>
      <c r="AC27" s="20"/>
      <c r="AD27" s="20"/>
      <c r="AE27" s="20"/>
    </row>
    <row r="28" spans="1:31" ht="13.5" x14ac:dyDescent="0.25">
      <c r="P28" s="4"/>
      <c r="Q28" s="4"/>
      <c r="T28" s="20"/>
      <c r="W28" s="20"/>
      <c r="X28" s="50" t="s">
        <v>64</v>
      </c>
      <c r="Y28" s="48">
        <v>19.25</v>
      </c>
      <c r="Z28" s="20"/>
      <c r="AA28" s="20"/>
      <c r="AB28" s="20"/>
      <c r="AC28" s="20"/>
      <c r="AD28" s="20"/>
      <c r="AE28" s="20"/>
    </row>
    <row r="29" spans="1:31" ht="14.25" thickBot="1" x14ac:dyDescent="0.3">
      <c r="C29" t="s">
        <v>66</v>
      </c>
      <c r="P29" s="4"/>
      <c r="Q29" s="4"/>
      <c r="T29" s="20"/>
      <c r="W29" s="20"/>
      <c r="X29" s="51" t="s">
        <v>65</v>
      </c>
      <c r="Y29" s="52">
        <v>19</v>
      </c>
      <c r="Z29" s="20"/>
      <c r="AA29" s="20"/>
      <c r="AB29" s="20"/>
      <c r="AC29" s="20"/>
      <c r="AD29" s="20"/>
      <c r="AE29" s="20"/>
    </row>
    <row r="30" spans="1:31" x14ac:dyDescent="0.2">
      <c r="A30" t="s">
        <v>69</v>
      </c>
      <c r="P30" s="4"/>
      <c r="Q30" s="4"/>
      <c r="T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25.5" customHeight="1" x14ac:dyDescent="0.2">
      <c r="A31" s="59" t="s">
        <v>71</v>
      </c>
      <c r="B31" s="59"/>
      <c r="C31" s="59"/>
      <c r="D31" s="59"/>
      <c r="E31" s="59"/>
      <c r="F31" s="59"/>
      <c r="G31" s="59"/>
      <c r="H31" s="59"/>
      <c r="P31" s="4"/>
      <c r="Q31" s="4"/>
      <c r="T31" s="20"/>
      <c r="W31" s="22"/>
      <c r="X31" s="20"/>
      <c r="Y31" s="19"/>
      <c r="Z31" s="20"/>
      <c r="AA31" s="20"/>
      <c r="AB31" s="20"/>
      <c r="AC31" s="20"/>
      <c r="AD31" s="20"/>
      <c r="AE31" s="20"/>
    </row>
    <row r="32" spans="1:31" ht="24.75" customHeight="1" x14ac:dyDescent="0.2">
      <c r="A32" s="59" t="s">
        <v>72</v>
      </c>
      <c r="B32" s="59"/>
      <c r="C32" s="59"/>
      <c r="D32" s="59"/>
      <c r="E32" s="59"/>
      <c r="F32" s="59"/>
      <c r="G32" s="59"/>
      <c r="H32" s="59"/>
      <c r="P32" s="4"/>
      <c r="Q32" s="4"/>
      <c r="T32" s="20"/>
      <c r="W32" s="19"/>
      <c r="X32" s="20"/>
      <c r="Y32" s="23"/>
      <c r="Z32" s="20"/>
      <c r="AA32" s="20"/>
      <c r="AB32" s="20"/>
      <c r="AC32" s="20"/>
      <c r="AD32" s="20"/>
      <c r="AE32" s="20"/>
    </row>
    <row r="33" spans="3:31" x14ac:dyDescent="0.2">
      <c r="P33" s="4"/>
      <c r="Q33" s="4"/>
      <c r="T33" s="20"/>
      <c r="W33" s="19"/>
      <c r="X33" s="20"/>
      <c r="Y33" s="23"/>
      <c r="Z33" s="20"/>
      <c r="AA33" s="20"/>
      <c r="AB33" s="20"/>
      <c r="AC33" s="20"/>
      <c r="AD33" s="20"/>
      <c r="AE33" s="20"/>
    </row>
    <row r="34" spans="3:31" x14ac:dyDescent="0.2">
      <c r="P34" s="4"/>
      <c r="Q34" s="4"/>
      <c r="T34" s="20"/>
      <c r="W34" s="19"/>
      <c r="X34" s="20"/>
      <c r="Y34" s="23"/>
      <c r="Z34" s="20"/>
      <c r="AA34" s="20"/>
      <c r="AB34" s="20"/>
      <c r="AC34" s="20"/>
      <c r="AD34" s="20"/>
      <c r="AE34" s="20"/>
    </row>
    <row r="35" spans="3:31" x14ac:dyDescent="0.2">
      <c r="P35" s="4"/>
      <c r="Q35" s="4"/>
      <c r="T35" s="20"/>
      <c r="W35" s="19"/>
      <c r="X35" s="20"/>
      <c r="Y35" s="23"/>
      <c r="Z35" s="20"/>
      <c r="AA35" s="20"/>
      <c r="AB35" s="20"/>
      <c r="AC35" s="20"/>
      <c r="AD35" s="20"/>
      <c r="AE35" s="20"/>
    </row>
    <row r="36" spans="3:31" x14ac:dyDescent="0.2">
      <c r="P36" s="4"/>
      <c r="Q36" s="4"/>
      <c r="T36" s="20"/>
      <c r="W36" s="19"/>
      <c r="X36" s="20"/>
      <c r="Y36" s="23"/>
      <c r="Z36" s="20"/>
      <c r="AA36" s="20"/>
      <c r="AB36" s="20"/>
      <c r="AC36" s="20"/>
      <c r="AD36" s="20"/>
      <c r="AE36" s="20"/>
    </row>
    <row r="37" spans="3:31" x14ac:dyDescent="0.2">
      <c r="P37" s="4"/>
      <c r="Q37" s="4"/>
      <c r="T37" s="20"/>
      <c r="W37" s="19"/>
      <c r="X37" s="20"/>
      <c r="Y37" s="23"/>
      <c r="Z37" s="20"/>
      <c r="AA37" s="20"/>
      <c r="AB37" s="20"/>
      <c r="AC37" s="20"/>
      <c r="AD37" s="20"/>
      <c r="AE37" s="20"/>
    </row>
    <row r="38" spans="3:31" x14ac:dyDescent="0.2">
      <c r="P38" s="4"/>
      <c r="Q38" s="4"/>
      <c r="T38" s="20"/>
      <c r="W38" s="19"/>
      <c r="X38" s="20"/>
      <c r="Y38" s="23"/>
      <c r="Z38" s="20"/>
      <c r="AA38" s="20"/>
      <c r="AB38" s="20"/>
      <c r="AC38" s="20"/>
      <c r="AD38" s="20"/>
      <c r="AE38" s="20"/>
    </row>
    <row r="39" spans="3:31" x14ac:dyDescent="0.2">
      <c r="P39" s="4"/>
      <c r="Q39" s="4"/>
      <c r="T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3:31" x14ac:dyDescent="0.2">
      <c r="P40" s="4"/>
      <c r="Q40" s="4"/>
      <c r="T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3:31" x14ac:dyDescent="0.2">
      <c r="P41" s="4"/>
      <c r="T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3:31" x14ac:dyDescent="0.2">
      <c r="P42" s="4"/>
      <c r="T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3:31" x14ac:dyDescent="0.2">
      <c r="P43" s="4"/>
      <c r="T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3:31" ht="13.5" x14ac:dyDescent="0.25">
      <c r="C44" s="7"/>
      <c r="P44" s="4"/>
      <c r="T44" s="20"/>
      <c r="U44" s="42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3:31" ht="13.5" x14ac:dyDescent="0.25">
      <c r="P45" s="4"/>
      <c r="T45" s="20"/>
      <c r="U45" s="42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3:31" ht="13.5" x14ac:dyDescent="0.25">
      <c r="P46" s="4"/>
      <c r="T46" s="20"/>
      <c r="U46" s="42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3:31" ht="13.5" x14ac:dyDescent="0.25">
      <c r="P47" s="4"/>
      <c r="T47" s="20"/>
      <c r="U47" s="41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3:31" ht="13.5" x14ac:dyDescent="0.25">
      <c r="P48" s="4"/>
      <c r="T48" s="20"/>
      <c r="U48" s="41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6:31" ht="13.5" x14ac:dyDescent="0.25">
      <c r="P49" s="4"/>
      <c r="T49" s="20"/>
      <c r="U49" s="41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6:31" ht="13.5" x14ac:dyDescent="0.25">
      <c r="P50" s="4"/>
      <c r="T50" s="20"/>
      <c r="U50" s="41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6:31" ht="13.5" x14ac:dyDescent="0.25">
      <c r="T51" s="20"/>
      <c r="U51" s="41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6:31" ht="13.5" x14ac:dyDescent="0.25">
      <c r="T52" s="20"/>
      <c r="U52" s="41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6:31" ht="13.5" x14ac:dyDescent="0.25">
      <c r="T53" s="20"/>
      <c r="U53" s="41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6:31" ht="13.5" x14ac:dyDescent="0.25">
      <c r="T54" s="20"/>
      <c r="U54" s="41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6:31" ht="13.5" x14ac:dyDescent="0.25">
      <c r="U55" s="41"/>
    </row>
    <row r="56" spans="16:31" x14ac:dyDescent="0.2">
      <c r="U56" s="20"/>
    </row>
  </sheetData>
  <sheetProtection sheet="1" objects="1" scenarios="1"/>
  <mergeCells count="3">
    <mergeCell ref="X2:Y2"/>
    <mergeCell ref="A31:H31"/>
    <mergeCell ref="A32:H32"/>
  </mergeCells>
  <conditionalFormatting sqref="C5 E5 G5:H5">
    <cfRule type="expression" dxfId="15" priority="9">
      <formula>$B$5="none"</formula>
    </cfRule>
  </conditionalFormatting>
  <conditionalFormatting sqref="C6 E6:H6">
    <cfRule type="expression" dxfId="14" priority="8">
      <formula>$B$6="none"</formula>
    </cfRule>
  </conditionalFormatting>
  <conditionalFormatting sqref="C10 E10 G10:H10">
    <cfRule type="expression" dxfId="13" priority="7">
      <formula>$B$10="none"</formula>
    </cfRule>
  </conditionalFormatting>
  <conditionalFormatting sqref="C11 E11:H11">
    <cfRule type="expression" dxfId="12" priority="6">
      <formula>$B$11="none"</formula>
    </cfRule>
  </conditionalFormatting>
  <conditionalFormatting sqref="C19:H19">
    <cfRule type="expression" dxfId="11" priority="4">
      <formula>$B$19="none"</formula>
    </cfRule>
  </conditionalFormatting>
  <conditionalFormatting sqref="C20:H20">
    <cfRule type="expression" dxfId="10" priority="3">
      <formula>$B$20="none"</formula>
    </cfRule>
  </conditionalFormatting>
  <conditionalFormatting sqref="C24:H24">
    <cfRule type="expression" dxfId="9" priority="2">
      <formula>$B$24="none"</formula>
    </cfRule>
  </conditionalFormatting>
  <conditionalFormatting sqref="C25:H25">
    <cfRule type="expression" dxfId="8" priority="1">
      <formula>$B$25="none"</formula>
    </cfRule>
  </conditionalFormatting>
  <dataValidations count="2">
    <dataValidation type="list" allowBlank="1" showInputMessage="1" showErrorMessage="1" sqref="F6 F25 F20 F11">
      <formula1>$U$7:$U$14</formula1>
    </dataValidation>
    <dataValidation type="list" allowBlank="1" showInputMessage="1" showErrorMessage="1" sqref="B10:B11 B19:B20 B24:B25 B5:B6">
      <formula1>"none,included"</formula1>
    </dataValidation>
  </dataValidations>
  <pageMargins left="0.75" right="0.75" top="1" bottom="1" header="0.5" footer="0.5"/>
  <pageSetup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abSelected="1" workbookViewId="0">
      <selection activeCell="B13" sqref="B13"/>
    </sheetView>
  </sheetViews>
  <sheetFormatPr defaultRowHeight="12.75" x14ac:dyDescent="0.2"/>
  <cols>
    <col min="1" max="1" width="74.28515625" customWidth="1"/>
    <col min="3" max="3" width="20.85546875" customWidth="1"/>
    <col min="5" max="5" width="16.5703125" customWidth="1"/>
    <col min="6" max="6" width="11.85546875" customWidth="1"/>
    <col min="7" max="7" width="3" customWidth="1"/>
    <col min="8" max="9" width="12.7109375" customWidth="1"/>
    <col min="10" max="13" width="12.7109375" hidden="1" customWidth="1"/>
    <col min="14" max="14" width="9.42578125" hidden="1" customWidth="1"/>
    <col min="15" max="15" width="7.42578125" hidden="1" customWidth="1"/>
    <col min="16" max="16" width="7.5703125" hidden="1" customWidth="1"/>
    <col min="17" max="17" width="8.5703125" hidden="1" customWidth="1"/>
    <col min="18" max="18" width="10.28515625" hidden="1" customWidth="1"/>
    <col min="19" max="19" width="9.140625" hidden="1" customWidth="1"/>
    <col min="20" max="20" width="8.42578125" hidden="1" customWidth="1"/>
    <col min="21" max="21" width="11.5703125" hidden="1" customWidth="1"/>
    <col min="22" max="22" width="7.85546875" hidden="1" customWidth="1"/>
    <col min="23" max="23" width="8.7109375" hidden="1" customWidth="1"/>
    <col min="24" max="24" width="10.140625" hidden="1" customWidth="1"/>
    <col min="25" max="25" width="20.28515625" hidden="1" customWidth="1"/>
    <col min="26" max="27" width="9.140625" hidden="1" customWidth="1"/>
    <col min="28" max="28" width="18.5703125" hidden="1" customWidth="1"/>
    <col min="29" max="29" width="9.140625" hidden="1" customWidth="1"/>
    <col min="30" max="30" width="9.140625" customWidth="1"/>
    <col min="34" max="34" width="10.5703125" customWidth="1"/>
  </cols>
  <sheetData>
    <row r="1" spans="1:35" ht="16.5" customHeight="1" thickBot="1" x14ac:dyDescent="0.3">
      <c r="A1" s="28" t="s">
        <v>89</v>
      </c>
    </row>
    <row r="2" spans="1:35" ht="39.75" customHeight="1" x14ac:dyDescent="0.2">
      <c r="A2" s="31" t="s">
        <v>28</v>
      </c>
      <c r="H2" s="6" t="s">
        <v>74</v>
      </c>
      <c r="I2" s="6"/>
      <c r="J2" s="6" t="s">
        <v>76</v>
      </c>
      <c r="K2" s="6"/>
      <c r="L2" s="6"/>
      <c r="M2" s="6"/>
      <c r="N2" s="15" t="s">
        <v>33</v>
      </c>
      <c r="O2" s="5" t="s">
        <v>14</v>
      </c>
      <c r="P2" s="6" t="s">
        <v>4</v>
      </c>
      <c r="Q2" s="15" t="s">
        <v>34</v>
      </c>
      <c r="R2" s="6" t="s">
        <v>8</v>
      </c>
      <c r="S2" s="6" t="s">
        <v>7</v>
      </c>
      <c r="T2" s="6" t="s">
        <v>10</v>
      </c>
      <c r="U2" s="6" t="s">
        <v>1</v>
      </c>
      <c r="V2" s="6" t="s">
        <v>3</v>
      </c>
      <c r="W2" s="6" t="s">
        <v>11</v>
      </c>
      <c r="X2" s="20"/>
      <c r="Y2" s="20"/>
      <c r="Z2" s="19"/>
      <c r="AA2" s="19"/>
      <c r="AB2" s="57" t="s">
        <v>50</v>
      </c>
      <c r="AC2" s="58"/>
      <c r="AD2" s="20"/>
      <c r="AE2" s="20"/>
      <c r="AF2" s="19"/>
      <c r="AG2" s="20"/>
      <c r="AH2" s="19"/>
      <c r="AI2" s="20"/>
    </row>
    <row r="3" spans="1:35" ht="13.5" thickBot="1" x14ac:dyDescent="0.25">
      <c r="A3" s="1" t="s">
        <v>75</v>
      </c>
      <c r="B3" s="53">
        <v>12</v>
      </c>
      <c r="C3" s="14" t="s">
        <v>77</v>
      </c>
      <c r="D3" s="53">
        <v>60</v>
      </c>
      <c r="H3" s="6"/>
      <c r="I3" s="6"/>
      <c r="J3" s="56">
        <f>B3*1.8+32</f>
        <v>53.6</v>
      </c>
      <c r="K3" s="6">
        <f>D3/0.06309</f>
        <v>951.02234902520217</v>
      </c>
      <c r="L3" s="6"/>
      <c r="M3" s="6"/>
      <c r="N3" s="13">
        <f>0.000000007222*J3^4-0.000004632*J3^3+0.001138*J3^2-0.1344*J3+7.588</f>
        <v>2.9999134211530754</v>
      </c>
      <c r="O3" s="5"/>
      <c r="P3" s="6"/>
      <c r="Q3" s="15"/>
      <c r="R3" s="6"/>
      <c r="S3" s="6"/>
      <c r="T3" s="6"/>
      <c r="U3" s="6"/>
      <c r="V3" s="6"/>
      <c r="W3" s="6"/>
      <c r="X3" s="20"/>
      <c r="Y3" s="20"/>
      <c r="Z3" s="21"/>
      <c r="AA3" s="20"/>
      <c r="AB3" s="43" t="s">
        <v>26</v>
      </c>
      <c r="AC3" s="44" t="s">
        <v>27</v>
      </c>
      <c r="AD3" s="20"/>
      <c r="AE3" s="20"/>
      <c r="AF3" s="20"/>
      <c r="AG3" s="20"/>
      <c r="AH3" s="19"/>
      <c r="AI3" s="20"/>
    </row>
    <row r="4" spans="1:35" ht="14.25" thickBot="1" x14ac:dyDescent="0.3">
      <c r="A4" s="8" t="s">
        <v>78</v>
      </c>
      <c r="B4" s="54">
        <v>200</v>
      </c>
      <c r="C4" s="14" t="s">
        <v>13</v>
      </c>
      <c r="D4" s="53">
        <v>800</v>
      </c>
      <c r="E4" t="s">
        <v>79</v>
      </c>
      <c r="H4" s="40">
        <f>2.9853*T4*(K4/J4)*W4^2/2/32.174</f>
        <v>0.12016547665166294</v>
      </c>
      <c r="I4" s="29"/>
      <c r="J4" s="29">
        <f>B4/25.4</f>
        <v>7.8740157480314963</v>
      </c>
      <c r="K4" s="29">
        <f>D4/25.4</f>
        <v>31.496062992125985</v>
      </c>
      <c r="L4" s="29"/>
      <c r="M4" s="29"/>
      <c r="N4" s="29"/>
      <c r="R4" s="16">
        <f>12*$Z$4/J4</f>
        <v>2.286E-4</v>
      </c>
      <c r="S4" s="10">
        <f>3600*62.4*W4*J4/12/$N$3</f>
        <v>307901.16337739199</v>
      </c>
      <c r="T4" s="11">
        <f>0.25/(LOG(R4/3.7+5.74/S4^0.9))^2</f>
        <v>1.649039048246545E-2</v>
      </c>
      <c r="U4" s="12"/>
      <c r="V4" s="4">
        <f>PI()*J4^2/4/144</f>
        <v>0.33815821889033915</v>
      </c>
      <c r="W4" s="4">
        <f>$K$3/7.48/60/V4</f>
        <v>6.2663973138552063</v>
      </c>
      <c r="X4" s="20"/>
      <c r="Y4" s="33" t="s">
        <v>35</v>
      </c>
      <c r="Z4" s="27">
        <v>1.4999999999999999E-4</v>
      </c>
      <c r="AA4" s="20"/>
      <c r="AB4" s="45" t="s">
        <v>42</v>
      </c>
      <c r="AC4" s="46">
        <v>0.36399999999999999</v>
      </c>
      <c r="AD4" s="20"/>
      <c r="AE4" s="20"/>
      <c r="AF4" s="20"/>
      <c r="AG4" s="20"/>
      <c r="AH4" s="19"/>
      <c r="AI4" s="20"/>
    </row>
    <row r="5" spans="1:35" ht="14.25" thickBot="1" x14ac:dyDescent="0.3">
      <c r="A5" s="8" t="s">
        <v>86</v>
      </c>
      <c r="B5" s="55" t="s">
        <v>2</v>
      </c>
      <c r="C5" s="14" t="s">
        <v>80</v>
      </c>
      <c r="D5" s="54">
        <v>200</v>
      </c>
      <c r="E5" s="14" t="s">
        <v>81</v>
      </c>
      <c r="F5" s="54">
        <v>250</v>
      </c>
      <c r="H5" s="40">
        <f>2.9853*U5*W5^2/2/32.174</f>
        <v>0.20182527048801416</v>
      </c>
      <c r="I5" s="29"/>
      <c r="J5" s="29"/>
      <c r="K5" s="29">
        <f>D5/25.4</f>
        <v>7.8740157480314963</v>
      </c>
      <c r="L5" s="29">
        <f>F5/25.4</f>
        <v>9.8425196850393704</v>
      </c>
      <c r="M5" s="29"/>
      <c r="N5" s="29"/>
      <c r="P5" s="4">
        <f>IF(L5&gt;K5,K5/L5,L5/K5)</f>
        <v>0.8</v>
      </c>
      <c r="Q5" s="4">
        <f>IF(MIN(K5,L5)&lt;=4, 0,IF(MIN(K5,L5)&lt;20,56.5-2.3*MIN(K5,L5),10))</f>
        <v>38.389763779527556</v>
      </c>
      <c r="R5" s="17"/>
      <c r="T5" s="12"/>
      <c r="U5" s="12">
        <f>IF(AND(Q5&lt;=45,L5&gt;K5),2.6*SIN(RADIANS(Q5)/2)*(1-P5^2)^2, IF(AND(Q5&gt;45,L5&gt;K5),(1-P5^2)^2,IF(AND(Q5&lt;=45,K5&gt;L5),0.8*SIN(RADIANS(Q5)/2)*(1-P5^2)/P5^4,IF(AND(Q5&gt;45,K5&gt;L5),0.5*(1-P5^2)*SIN(RADIANS(Q5)/2)^0.5/P5^4,0))))</f>
        <v>0.11078647918900442</v>
      </c>
      <c r="V5" s="4">
        <f>PI()*K5^2/4/144</f>
        <v>0.33815821889033915</v>
      </c>
      <c r="W5" s="4">
        <f>IF(B5="included",$K$3/7.48/60/V5,0)</f>
        <v>6.2663973138552063</v>
      </c>
      <c r="AB5" s="45" t="s">
        <v>43</v>
      </c>
      <c r="AC5" s="46">
        <v>0.49299999999999999</v>
      </c>
      <c r="AD5" s="20"/>
      <c r="AE5" s="20"/>
      <c r="AF5" s="20"/>
      <c r="AG5" s="20"/>
      <c r="AH5" s="19"/>
      <c r="AI5" s="20"/>
    </row>
    <row r="6" spans="1:35" ht="13.5" x14ac:dyDescent="0.25">
      <c r="A6" s="8" t="s">
        <v>87</v>
      </c>
      <c r="B6" s="55" t="s">
        <v>2</v>
      </c>
      <c r="C6" s="2" t="s">
        <v>82</v>
      </c>
      <c r="D6" s="54">
        <v>200</v>
      </c>
      <c r="E6" s="9" t="s">
        <v>6</v>
      </c>
      <c r="F6" s="55" t="s">
        <v>73</v>
      </c>
      <c r="G6" s="14"/>
      <c r="H6" s="40">
        <f>2.9853*U6*W6^2/2/32.174</f>
        <v>0.90124107488747218</v>
      </c>
      <c r="I6" s="29"/>
      <c r="J6" s="29"/>
      <c r="K6" s="29">
        <f>D6/25.4</f>
        <v>7.8740157480314963</v>
      </c>
      <c r="L6" s="29"/>
      <c r="M6" s="29"/>
      <c r="N6" s="29"/>
      <c r="O6" s="18">
        <f>VLOOKUP(F6,$Y$6:$Z$14,2,FALSE)</f>
        <v>30</v>
      </c>
      <c r="Q6" s="3"/>
      <c r="R6" s="16">
        <f>12*$Z$4/K6</f>
        <v>2.286E-4</v>
      </c>
      <c r="S6" s="10">
        <f>3600*62.4*W6*K6/12/$N$3</f>
        <v>307901.16337739199</v>
      </c>
      <c r="T6" s="11">
        <f>IF(B6="included",0.25/(LOG(R6/3.7+5.74/S6^0.9))^2,0)</f>
        <v>1.649039048246545E-2</v>
      </c>
      <c r="U6" s="12">
        <f>O6*T6</f>
        <v>0.4947117144739635</v>
      </c>
      <c r="V6" s="4">
        <f>PI()*K6^2/4/144</f>
        <v>0.33815821889033915</v>
      </c>
      <c r="W6" s="4">
        <f>IF(B6="included",$K$3/7.48/60/V6,0)</f>
        <v>6.2663973138552063</v>
      </c>
      <c r="Y6" s="35" t="s">
        <v>36</v>
      </c>
      <c r="Z6" s="34" t="s">
        <v>14</v>
      </c>
      <c r="AB6" s="47" t="s">
        <v>44</v>
      </c>
      <c r="AC6" s="46">
        <v>0.622</v>
      </c>
      <c r="AD6" s="20"/>
      <c r="AE6" s="20"/>
      <c r="AF6" s="20"/>
      <c r="AG6" s="20"/>
      <c r="AH6" s="19"/>
      <c r="AI6" s="20"/>
    </row>
    <row r="7" spans="1:35" ht="13.5" x14ac:dyDescent="0.25">
      <c r="E7" s="2"/>
      <c r="I7" s="30"/>
      <c r="J7" s="30"/>
      <c r="K7" s="30"/>
      <c r="L7" s="30"/>
      <c r="M7" s="30"/>
      <c r="N7" s="30"/>
      <c r="R7" s="17"/>
      <c r="T7" s="12"/>
      <c r="U7" s="12"/>
      <c r="Y7" s="24" t="s">
        <v>15</v>
      </c>
      <c r="Z7" s="36">
        <v>20</v>
      </c>
      <c r="AB7" s="47" t="s">
        <v>45</v>
      </c>
      <c r="AC7" s="48">
        <v>0.82399999999999995</v>
      </c>
      <c r="AD7" s="20"/>
      <c r="AE7" s="20"/>
      <c r="AF7" s="20"/>
      <c r="AG7" s="20"/>
      <c r="AH7" s="20"/>
      <c r="AI7" s="20"/>
    </row>
    <row r="8" spans="1:35" ht="13.5" x14ac:dyDescent="0.25">
      <c r="A8" s="1" t="s">
        <v>83</v>
      </c>
      <c r="B8" s="53">
        <v>7</v>
      </c>
      <c r="E8" s="2"/>
      <c r="I8" s="30"/>
      <c r="J8" s="56">
        <f>B8*1.8+32</f>
        <v>44.6</v>
      </c>
      <c r="K8" s="6"/>
      <c r="L8" s="6"/>
      <c r="M8" s="30"/>
      <c r="N8" s="13">
        <f>0.000000007222*J8^4-0.000004632*J8^3+0.001138*J8^2-0.1344*J8+7.588</f>
        <v>3.4750647879534435</v>
      </c>
      <c r="R8" s="17"/>
      <c r="T8" s="12"/>
      <c r="U8" s="12"/>
      <c r="Y8" s="24" t="s">
        <v>19</v>
      </c>
      <c r="Z8" s="36">
        <v>14</v>
      </c>
      <c r="AB8" s="47" t="s">
        <v>41</v>
      </c>
      <c r="AC8" s="48">
        <v>1.0489999999999999</v>
      </c>
      <c r="AD8" s="20"/>
      <c r="AE8" s="20"/>
      <c r="AF8" s="20"/>
      <c r="AG8" s="20"/>
      <c r="AH8" s="19"/>
      <c r="AI8" s="20"/>
    </row>
    <row r="9" spans="1:35" ht="13.5" x14ac:dyDescent="0.25">
      <c r="A9" s="8" t="s">
        <v>85</v>
      </c>
      <c r="B9" s="32">
        <f>B4</f>
        <v>200</v>
      </c>
      <c r="C9" s="14" t="s">
        <v>13</v>
      </c>
      <c r="D9" s="53">
        <v>800</v>
      </c>
      <c r="E9" t="s">
        <v>79</v>
      </c>
      <c r="H9" s="40">
        <f>2.9853*T9*(D9/B9)*W9^2/2/32.174</f>
        <v>0.12207820917056443</v>
      </c>
      <c r="I9" s="29"/>
      <c r="J9" s="29">
        <f>B9/25.4</f>
        <v>7.8740157480314963</v>
      </c>
      <c r="K9" s="29">
        <f>D9/25.4</f>
        <v>31.496062992125985</v>
      </c>
      <c r="L9" s="29"/>
      <c r="M9" s="29"/>
      <c r="N9" s="29"/>
      <c r="R9" s="16">
        <f>12*$Z$4/J9</f>
        <v>2.286E-4</v>
      </c>
      <c r="S9" s="10">
        <f>3600*62.4*W9*J9/12/$N$8</f>
        <v>265801.327102296</v>
      </c>
      <c r="T9" s="11">
        <f>0.25/(LOG(R9/3.7+5.74/S9^0.9))^2</f>
        <v>1.67528760732032E-2</v>
      </c>
      <c r="U9" s="12"/>
      <c r="V9" s="4">
        <f>PI()*J9^2/4/144</f>
        <v>0.33815821889033915</v>
      </c>
      <c r="W9" s="4">
        <f>$K$3/7.48/60/V9</f>
        <v>6.2663973138552063</v>
      </c>
      <c r="X9" s="4"/>
      <c r="Y9" s="24" t="s">
        <v>16</v>
      </c>
      <c r="Z9" s="36">
        <v>12</v>
      </c>
      <c r="AB9" s="47" t="s">
        <v>39</v>
      </c>
      <c r="AC9" s="48">
        <v>1.38</v>
      </c>
      <c r="AD9" s="20"/>
      <c r="AE9" s="20"/>
      <c r="AF9" s="20"/>
      <c r="AG9" s="20"/>
      <c r="AH9" s="19"/>
      <c r="AI9" s="20"/>
    </row>
    <row r="10" spans="1:35" ht="13.5" x14ac:dyDescent="0.25">
      <c r="A10" s="8" t="s">
        <v>86</v>
      </c>
      <c r="B10" s="55" t="s">
        <v>2</v>
      </c>
      <c r="C10" s="14" t="s">
        <v>80</v>
      </c>
      <c r="D10" s="54">
        <v>250</v>
      </c>
      <c r="E10" s="14" t="s">
        <v>81</v>
      </c>
      <c r="F10" s="54">
        <v>200</v>
      </c>
      <c r="H10" s="40">
        <f>2.9853*U10*W10^2/2/32.174</f>
        <v>0.17250023118633689</v>
      </c>
      <c r="I10" s="29"/>
      <c r="J10" s="29"/>
      <c r="K10" s="29">
        <f>D10/25.4</f>
        <v>9.8425196850393704</v>
      </c>
      <c r="L10" s="29">
        <f>F10/25.4</f>
        <v>7.8740157480314963</v>
      </c>
      <c r="M10" s="29"/>
      <c r="N10" s="29"/>
      <c r="P10" s="4">
        <f>IF(L10&gt;K10,K10/L10,L10/K10)</f>
        <v>0.8</v>
      </c>
      <c r="Q10" s="4">
        <f>IF(MIN(K10,L10)&lt;=4, 0,IF(MIN(K10,L10)&lt;20,56.5-2.3*MIN(K10,L10),10))</f>
        <v>38.389763779527556</v>
      </c>
      <c r="R10" s="17"/>
      <c r="T10" s="12"/>
      <c r="U10" s="12">
        <f>IF(AND(Q10&lt;=45,L10&gt;K10),2.6*SIN(RADIANS(Q10)/2)*(1-P10^2)^2, IF(AND(Q10&gt;45,L10&gt;K10),(1-P10^2)^2,IF(AND(Q10&lt;=45,K10&gt;L10),0.8*SIN(RADIANS(Q10)/2)*(1-P10^2)/P10^4,IF(AND(Q10&gt;45,K10&gt;L10),0.5*(1-P10^2)*SIN(RADIANS(Q10)/2)^0.5/P10^4,0))))</f>
        <v>0.23117504504917119</v>
      </c>
      <c r="V10" s="4">
        <f>PI()*K10^2/4/144</f>
        <v>0.52837221701615489</v>
      </c>
      <c r="W10" s="4">
        <f>IF(B10="included",$K$3/7.48/60/V10,0)</f>
        <v>4.0104942808673325</v>
      </c>
      <c r="X10" s="4"/>
      <c r="Y10" s="24" t="s">
        <v>17</v>
      </c>
      <c r="Z10" s="36">
        <v>12</v>
      </c>
      <c r="AB10" s="47" t="s">
        <v>40</v>
      </c>
      <c r="AC10" s="48">
        <v>1.61</v>
      </c>
      <c r="AD10" s="20"/>
      <c r="AE10" s="20"/>
      <c r="AF10" s="20"/>
      <c r="AG10" s="20"/>
      <c r="AH10" s="19"/>
      <c r="AI10" s="20"/>
    </row>
    <row r="11" spans="1:35" ht="13.5" x14ac:dyDescent="0.25">
      <c r="A11" s="8" t="s">
        <v>87</v>
      </c>
      <c r="B11" s="55" t="s">
        <v>2</v>
      </c>
      <c r="C11" s="2" t="s">
        <v>82</v>
      </c>
      <c r="D11" s="54">
        <v>200</v>
      </c>
      <c r="E11" s="9" t="s">
        <v>6</v>
      </c>
      <c r="F11" s="55" t="s">
        <v>73</v>
      </c>
      <c r="G11" s="14"/>
      <c r="H11" s="40">
        <f>2.9853*U11*W11^2/2/32.174</f>
        <v>0.91558656877923317</v>
      </c>
      <c r="I11" s="29"/>
      <c r="J11" s="29"/>
      <c r="K11" s="29">
        <f>D11/25.4</f>
        <v>7.8740157480314963</v>
      </c>
      <c r="L11" s="29"/>
      <c r="M11" s="29"/>
      <c r="N11" s="29"/>
      <c r="O11" s="18">
        <f>VLOOKUP(F11,$Y$6:$Z$14,2,FALSE)</f>
        <v>30</v>
      </c>
      <c r="Q11" s="3"/>
      <c r="R11" s="16">
        <f>12*$Z$4/K11</f>
        <v>2.286E-4</v>
      </c>
      <c r="S11" s="10">
        <f>3600*62.4*W11*K11/12/$N$8</f>
        <v>265801.327102296</v>
      </c>
      <c r="T11" s="11">
        <f>IF(B11="included",0.25/(LOG(R11/3.7+5.74/S11^0.9))^2,0)</f>
        <v>1.67528760732032E-2</v>
      </c>
      <c r="U11" s="12">
        <f>O11*T11</f>
        <v>0.50258628219609602</v>
      </c>
      <c r="V11" s="4">
        <f>PI()*K11^2/4/144</f>
        <v>0.33815821889033915</v>
      </c>
      <c r="W11" s="4">
        <f>IF(B11="included",$K$3/7.48/60/V11,0)</f>
        <v>6.2663973138552063</v>
      </c>
      <c r="X11" s="4"/>
      <c r="Y11" s="24" t="s">
        <v>18</v>
      </c>
      <c r="Z11" s="36">
        <v>14</v>
      </c>
      <c r="AB11" s="47" t="s">
        <v>46</v>
      </c>
      <c r="AC11" s="48">
        <v>2.0670000000000002</v>
      </c>
      <c r="AD11" s="20"/>
      <c r="AE11" s="20"/>
      <c r="AF11" s="20"/>
      <c r="AG11" s="20"/>
      <c r="AH11" s="20"/>
      <c r="AI11" s="20"/>
    </row>
    <row r="12" spans="1:35" ht="14.25" thickBot="1" x14ac:dyDescent="0.3">
      <c r="E12" s="2"/>
      <c r="R12" s="17"/>
      <c r="T12" s="12"/>
      <c r="U12" s="12"/>
      <c r="V12" s="4"/>
      <c r="W12" s="4"/>
      <c r="X12" s="4"/>
      <c r="Y12" s="24" t="s">
        <v>20</v>
      </c>
      <c r="Z12" s="36">
        <v>30</v>
      </c>
      <c r="AB12" s="47" t="s">
        <v>47</v>
      </c>
      <c r="AC12" s="48">
        <v>2.4689999999999999</v>
      </c>
      <c r="AD12" s="20"/>
      <c r="AE12" s="20"/>
      <c r="AF12" s="20"/>
      <c r="AG12" s="20"/>
      <c r="AH12" s="20"/>
      <c r="AI12" s="20"/>
    </row>
    <row r="13" spans="1:35" ht="14.25" thickBot="1" x14ac:dyDescent="0.3">
      <c r="E13" s="2"/>
      <c r="G13" s="14" t="s">
        <v>84</v>
      </c>
      <c r="H13" s="39">
        <f>SUM(H4:H11)</f>
        <v>2.4333968311632836</v>
      </c>
      <c r="P13" s="3"/>
      <c r="Q13" s="3"/>
      <c r="R13" s="16"/>
      <c r="S13" s="10"/>
      <c r="T13" s="11"/>
      <c r="U13" s="12"/>
      <c r="V13" s="4"/>
      <c r="W13" s="4"/>
      <c r="X13" s="4"/>
      <c r="Y13" s="25" t="s">
        <v>21</v>
      </c>
      <c r="Z13" s="36">
        <v>24</v>
      </c>
      <c r="AB13" s="45" t="s">
        <v>48</v>
      </c>
      <c r="AC13" s="48">
        <v>3.0680000000000001</v>
      </c>
      <c r="AD13" s="20"/>
      <c r="AE13" s="20"/>
      <c r="AF13" s="20"/>
      <c r="AG13" s="20"/>
      <c r="AH13" s="20"/>
      <c r="AI13" s="20"/>
    </row>
    <row r="14" spans="1:35" ht="14.25" thickBot="1" x14ac:dyDescent="0.3">
      <c r="A14" s="3"/>
      <c r="B14" s="3"/>
      <c r="C14" s="3"/>
      <c r="R14" s="17"/>
      <c r="X14" s="4"/>
      <c r="Y14" s="26" t="s">
        <v>22</v>
      </c>
      <c r="Z14" s="37">
        <v>24</v>
      </c>
      <c r="AB14" s="45" t="s">
        <v>49</v>
      </c>
      <c r="AC14" s="48">
        <v>4.0259999999999998</v>
      </c>
      <c r="AD14" s="20"/>
      <c r="AE14" s="20"/>
      <c r="AF14" s="20"/>
      <c r="AG14" s="20"/>
      <c r="AH14" s="20"/>
      <c r="AI14" s="20"/>
    </row>
    <row r="15" spans="1:35" ht="13.5" x14ac:dyDescent="0.25">
      <c r="A15" s="38"/>
      <c r="B15" s="3"/>
      <c r="C15" s="3"/>
      <c r="R15" s="17"/>
      <c r="X15" s="20"/>
      <c r="Y15" s="20"/>
      <c r="Z15" s="20"/>
      <c r="AA15" s="20"/>
      <c r="AB15" s="45" t="s">
        <v>51</v>
      </c>
      <c r="AC15" s="48">
        <v>6.0650000000000004</v>
      </c>
      <c r="AD15" s="20"/>
      <c r="AE15" s="20"/>
      <c r="AF15" s="20"/>
      <c r="AG15" s="20"/>
      <c r="AH15" s="20"/>
      <c r="AI15" s="20"/>
    </row>
    <row r="16" spans="1:35" ht="39" x14ac:dyDescent="0.25">
      <c r="A16" s="31" t="s">
        <v>38</v>
      </c>
      <c r="H16" s="6" t="s">
        <v>5</v>
      </c>
      <c r="I16" s="6"/>
      <c r="J16" s="6"/>
      <c r="K16" s="6"/>
      <c r="L16" s="6"/>
      <c r="M16" s="6"/>
      <c r="N16" s="15" t="s">
        <v>33</v>
      </c>
      <c r="O16" s="5" t="s">
        <v>14</v>
      </c>
      <c r="P16" s="6" t="s">
        <v>4</v>
      </c>
      <c r="Q16" s="15" t="s">
        <v>34</v>
      </c>
      <c r="R16" s="6" t="s">
        <v>8</v>
      </c>
      <c r="S16" s="6" t="s">
        <v>7</v>
      </c>
      <c r="T16" s="6" t="s">
        <v>10</v>
      </c>
      <c r="U16" s="6" t="s">
        <v>1</v>
      </c>
      <c r="V16" s="6" t="s">
        <v>3</v>
      </c>
      <c r="W16" s="6" t="s">
        <v>11</v>
      </c>
      <c r="X16" s="20"/>
      <c r="AA16" s="20"/>
      <c r="AB16" s="45" t="s">
        <v>54</v>
      </c>
      <c r="AC16" s="48">
        <v>8.0709999999999997</v>
      </c>
      <c r="AD16" s="20"/>
      <c r="AE16" s="20"/>
      <c r="AF16" s="20"/>
      <c r="AG16" s="20"/>
      <c r="AH16" s="20"/>
      <c r="AI16" s="20"/>
    </row>
    <row r="17" spans="1:35" ht="13.5" x14ac:dyDescent="0.25">
      <c r="A17" s="1" t="s">
        <v>75</v>
      </c>
      <c r="B17" s="53">
        <v>30</v>
      </c>
      <c r="C17" s="14" t="s">
        <v>77</v>
      </c>
      <c r="D17" s="53">
        <v>70</v>
      </c>
      <c r="H17" s="6"/>
      <c r="I17" s="6"/>
      <c r="J17" s="56">
        <f>B17*1.8+32</f>
        <v>86</v>
      </c>
      <c r="K17" s="6">
        <f>D17/0.06309</f>
        <v>1109.526073862736</v>
      </c>
      <c r="L17" s="6"/>
      <c r="M17" s="6"/>
      <c r="N17" s="13">
        <f>0.000000007222*J17^4-0.000004632*J17^3+0.001138*J17^2-0.1344*J17+7.588</f>
        <v>1.895085901152</v>
      </c>
      <c r="O17" s="5"/>
      <c r="P17" s="6"/>
      <c r="Q17" s="15"/>
      <c r="R17" s="6"/>
      <c r="S17" s="6"/>
      <c r="T17" s="6"/>
      <c r="U17" s="6"/>
      <c r="V17" s="6"/>
      <c r="W17" s="6"/>
      <c r="X17" s="20"/>
      <c r="AA17" s="20"/>
      <c r="AB17" s="45" t="s">
        <v>52</v>
      </c>
      <c r="AC17" s="49">
        <v>7.9809999999999999</v>
      </c>
      <c r="AD17" s="20"/>
      <c r="AE17" s="20"/>
      <c r="AF17" s="20"/>
      <c r="AG17" s="20"/>
      <c r="AH17" s="20"/>
      <c r="AI17" s="20"/>
    </row>
    <row r="18" spans="1:35" ht="13.5" x14ac:dyDescent="0.25">
      <c r="A18" s="8" t="s">
        <v>85</v>
      </c>
      <c r="B18" s="54">
        <v>200</v>
      </c>
      <c r="C18" s="14" t="s">
        <v>13</v>
      </c>
      <c r="D18" s="53">
        <v>800</v>
      </c>
      <c r="E18" t="s">
        <v>79</v>
      </c>
      <c r="H18" s="40">
        <f>2.9853*T18*(D18/B18)*W18^2/2/32.174</f>
        <v>0.15489578816095709</v>
      </c>
      <c r="I18" s="29"/>
      <c r="J18" s="29">
        <f>B18/25.4</f>
        <v>7.8740157480314963</v>
      </c>
      <c r="K18" s="29">
        <f>D18/25.4</f>
        <v>31.496062992125985</v>
      </c>
      <c r="L18" s="29"/>
      <c r="M18" s="29"/>
      <c r="N18" s="29"/>
      <c r="R18" s="16">
        <f>12*$Z$4/J18</f>
        <v>2.286E-4</v>
      </c>
      <c r="S18" s="10">
        <f>3600*62.4*W18*J18/12/$N$17</f>
        <v>568640.69881132594</v>
      </c>
      <c r="T18" s="11">
        <f>0.25/(LOG(R18/3.7+5.74/S18^0.9))^2</f>
        <v>1.56169872482818E-2</v>
      </c>
      <c r="U18" s="12"/>
      <c r="V18" s="4">
        <f>PI()*J18^2/4/144</f>
        <v>0.33815821889033915</v>
      </c>
      <c r="W18" s="4">
        <f>$K$17/7.48/60/V18</f>
        <v>7.3107968661644085</v>
      </c>
      <c r="X18" s="20"/>
      <c r="AA18" s="20"/>
      <c r="AB18" s="45" t="s">
        <v>55</v>
      </c>
      <c r="AC18" s="46">
        <v>10.135999999999999</v>
      </c>
      <c r="AD18" s="20"/>
      <c r="AE18" s="20"/>
      <c r="AF18" s="20"/>
      <c r="AG18" s="20"/>
      <c r="AH18" s="20"/>
      <c r="AI18" s="20"/>
    </row>
    <row r="19" spans="1:35" ht="13.5" x14ac:dyDescent="0.25">
      <c r="A19" s="8" t="s">
        <v>86</v>
      </c>
      <c r="B19" s="55" t="s">
        <v>2</v>
      </c>
      <c r="C19" s="14" t="s">
        <v>80</v>
      </c>
      <c r="D19" s="55">
        <v>200</v>
      </c>
      <c r="E19" s="14" t="s">
        <v>81</v>
      </c>
      <c r="F19" s="55">
        <v>250</v>
      </c>
      <c r="H19" s="40">
        <f>2.9853*U19*W19^2/2/32.174</f>
        <v>0.27470661816424152</v>
      </c>
      <c r="I19" s="29"/>
      <c r="J19" s="29"/>
      <c r="K19" s="29">
        <f>D19/25.4</f>
        <v>7.8740157480314963</v>
      </c>
      <c r="L19" s="29">
        <f>F19/25.4</f>
        <v>9.8425196850393704</v>
      </c>
      <c r="M19" s="29"/>
      <c r="N19" s="29"/>
      <c r="P19" s="4">
        <f>IF(L19&gt;K19,K19/L19,L19/K19)</f>
        <v>0.8</v>
      </c>
      <c r="Q19" s="4">
        <f>IF(MIN(K19,L19)&lt;=4, 0,IF(MIN(K19,L19)&lt;20,56.5-2.3*MIN(K19,L19),10))</f>
        <v>38.389763779527556</v>
      </c>
      <c r="R19" s="17"/>
      <c r="T19" s="12"/>
      <c r="U19" s="12">
        <f>IF(AND(Q19&lt;=45,L19&gt;K19),2.6*SIN(RADIANS(Q19)/2)*(1-P19^2)^2, IF(AND(Q19&gt;45,L19&gt;K19),(1-P19^2)^2,IF(AND(Q19&lt;=45,K19&gt;L19),0.8*SIN(RADIANS(Q19)/2)*(1-P19^2)/P19^4,IF(AND(Q19&gt;45,K19&gt;L19),0.5*(1-P19^2)*SIN(RADIANS(Q19)/2)^0.5/P19^4,0))))</f>
        <v>0.11078647918900442</v>
      </c>
      <c r="V19" s="4">
        <f>PI()*K19^2/4/144</f>
        <v>0.33815821889033915</v>
      </c>
      <c r="W19" s="4">
        <f>IF(B19="included",$K$17/7.48/60/V19,0)</f>
        <v>7.3107968661644085</v>
      </c>
      <c r="X19" s="20"/>
      <c r="AA19" s="20"/>
      <c r="AB19" s="50" t="s">
        <v>53</v>
      </c>
      <c r="AC19" s="49">
        <v>10.02</v>
      </c>
      <c r="AD19" s="20"/>
      <c r="AE19" s="20"/>
      <c r="AF19" s="20"/>
      <c r="AG19" s="20"/>
      <c r="AH19" s="20"/>
      <c r="AI19" s="20"/>
    </row>
    <row r="20" spans="1:35" ht="13.5" x14ac:dyDescent="0.25">
      <c r="A20" s="8" t="s">
        <v>87</v>
      </c>
      <c r="B20" s="55" t="s">
        <v>2</v>
      </c>
      <c r="C20" s="2" t="s">
        <v>82</v>
      </c>
      <c r="D20" s="55">
        <v>200</v>
      </c>
      <c r="E20" s="9" t="s">
        <v>6</v>
      </c>
      <c r="F20" s="55" t="s">
        <v>73</v>
      </c>
      <c r="G20" s="14"/>
      <c r="H20" s="40">
        <f>2.9853*U20*W20^2/2/32.174</f>
        <v>1.1617184112071781</v>
      </c>
      <c r="I20" s="29"/>
      <c r="J20" s="29"/>
      <c r="K20" s="29">
        <f>D20/25.4</f>
        <v>7.8740157480314963</v>
      </c>
      <c r="L20" s="29"/>
      <c r="M20" s="29"/>
      <c r="N20" s="29"/>
      <c r="O20" s="18">
        <f>VLOOKUP(F20,$Y$6:$Z$14,2,FALSE)</f>
        <v>30</v>
      </c>
      <c r="Q20" s="3"/>
      <c r="R20" s="16">
        <f>12*$Z$4/K20</f>
        <v>2.286E-4</v>
      </c>
      <c r="S20" s="10">
        <f>3600*62.4*W20*K20/12/$N$17</f>
        <v>568640.69881132594</v>
      </c>
      <c r="T20" s="11">
        <f>IF(B20="included",0.25/(LOG(R20/3.7+5.74/S20^0.9))^2,0)</f>
        <v>1.56169872482818E-2</v>
      </c>
      <c r="U20" s="12">
        <f>O20*T20</f>
        <v>0.46850961744845399</v>
      </c>
      <c r="V20" s="4">
        <f>PI()*K20^2/4/144</f>
        <v>0.33815821889033915</v>
      </c>
      <c r="W20" s="4">
        <f>IF(B20="included",$K$17/7.48/60/V20,0)</f>
        <v>7.3107968661644085</v>
      </c>
      <c r="X20" s="20"/>
      <c r="AA20" s="20"/>
      <c r="AB20" s="50" t="s">
        <v>56</v>
      </c>
      <c r="AC20" s="46">
        <v>12.09</v>
      </c>
      <c r="AD20" s="20"/>
      <c r="AE20" s="20"/>
      <c r="AF20" s="20"/>
      <c r="AG20" s="20"/>
      <c r="AH20" s="20"/>
      <c r="AI20" s="20"/>
    </row>
    <row r="21" spans="1:35" ht="13.5" x14ac:dyDescent="0.25">
      <c r="E21" s="2"/>
      <c r="I21" s="30"/>
      <c r="J21" s="30"/>
      <c r="K21" s="30"/>
      <c r="L21" s="30"/>
      <c r="M21" s="30"/>
      <c r="N21" s="30"/>
      <c r="R21" s="17"/>
      <c r="T21" s="12"/>
      <c r="U21" s="12"/>
      <c r="X21" s="20"/>
      <c r="AA21" s="20"/>
      <c r="AB21" s="50" t="s">
        <v>62</v>
      </c>
      <c r="AC21" s="46">
        <v>12</v>
      </c>
      <c r="AD21" s="20"/>
      <c r="AE21" s="20"/>
      <c r="AF21" s="20"/>
      <c r="AG21" s="20"/>
      <c r="AH21" s="20"/>
      <c r="AI21" s="20"/>
    </row>
    <row r="22" spans="1:35" ht="13.5" x14ac:dyDescent="0.25">
      <c r="A22" s="1" t="s">
        <v>30</v>
      </c>
      <c r="B22" s="53">
        <v>35</v>
      </c>
      <c r="E22" s="2"/>
      <c r="I22" s="30"/>
      <c r="J22" s="56">
        <f>B22*1.8+32</f>
        <v>95</v>
      </c>
      <c r="K22" s="6"/>
      <c r="L22" s="6"/>
      <c r="M22" s="30"/>
      <c r="N22" s="13">
        <f>0.000000007222*J22^4-0.000004632*J22^3+0.001138*J22^2-0.1344*J22+7.588</f>
        <v>1.7073254137499996</v>
      </c>
      <c r="R22" s="17"/>
      <c r="T22" s="12"/>
      <c r="U22" s="12"/>
      <c r="X22" s="20"/>
      <c r="AA22" s="20"/>
      <c r="AB22" s="50" t="s">
        <v>57</v>
      </c>
      <c r="AC22" s="46">
        <v>11.938000000000001</v>
      </c>
      <c r="AD22" s="20"/>
      <c r="AE22" s="20"/>
      <c r="AF22" s="20"/>
      <c r="AG22" s="20"/>
      <c r="AH22" s="20"/>
      <c r="AI22" s="20"/>
    </row>
    <row r="23" spans="1:35" ht="13.5" x14ac:dyDescent="0.25">
      <c r="A23" s="8" t="s">
        <v>85</v>
      </c>
      <c r="B23" s="32">
        <f>B18</f>
        <v>200</v>
      </c>
      <c r="C23" s="14" t="s">
        <v>13</v>
      </c>
      <c r="D23" s="53">
        <v>800</v>
      </c>
      <c r="E23" t="s">
        <v>79</v>
      </c>
      <c r="H23" s="40">
        <f>2.9853*T23*(D23/B23)*W23^2/2/32.174</f>
        <v>0.15373492834755198</v>
      </c>
      <c r="I23" s="29"/>
      <c r="J23" s="29">
        <f>B23/25.4</f>
        <v>7.8740157480314963</v>
      </c>
      <c r="K23" s="29">
        <f>D23/25.4</f>
        <v>31.496062992125985</v>
      </c>
      <c r="L23" s="29"/>
      <c r="M23" s="29"/>
      <c r="N23" s="29"/>
      <c r="R23" s="16">
        <f>12*$Z$4/J23</f>
        <v>2.286E-4</v>
      </c>
      <c r="S23" s="10">
        <f>3600*62.4*W23*J23/12/$N$22</f>
        <v>631176.08539057267</v>
      </c>
      <c r="T23" s="11">
        <f>0.25/(LOG(R23/3.7+5.74/S23^0.9))^2</f>
        <v>1.5499946409933426E-2</v>
      </c>
      <c r="U23" s="12"/>
      <c r="V23" s="4">
        <f>PI()*J23^2/4/144</f>
        <v>0.33815821889033915</v>
      </c>
      <c r="W23" s="4">
        <f>$K$17/7.48/60/V23</f>
        <v>7.3107968661644085</v>
      </c>
      <c r="X23" s="20"/>
      <c r="AA23" s="20"/>
      <c r="AB23" s="50" t="s">
        <v>58</v>
      </c>
      <c r="AC23" s="46">
        <v>13.25</v>
      </c>
      <c r="AD23" s="20"/>
      <c r="AE23" s="20"/>
      <c r="AF23" s="20"/>
      <c r="AG23" s="20"/>
      <c r="AH23" s="20"/>
      <c r="AI23" s="20"/>
    </row>
    <row r="24" spans="1:35" ht="13.5" x14ac:dyDescent="0.25">
      <c r="A24" s="8" t="s">
        <v>86</v>
      </c>
      <c r="B24" s="55" t="s">
        <v>2</v>
      </c>
      <c r="C24" s="14" t="s">
        <v>80</v>
      </c>
      <c r="D24" s="55">
        <v>250</v>
      </c>
      <c r="E24" s="14" t="s">
        <v>81</v>
      </c>
      <c r="F24" s="55">
        <v>200</v>
      </c>
      <c r="H24" s="40">
        <f>2.9853*U24*W24^2/2/32.174</f>
        <v>0.23479198133695853</v>
      </c>
      <c r="I24" s="29"/>
      <c r="J24" s="29"/>
      <c r="K24" s="29">
        <f>D24/25.4</f>
        <v>9.8425196850393704</v>
      </c>
      <c r="L24" s="29">
        <f>F24/25.4</f>
        <v>7.8740157480314963</v>
      </c>
      <c r="M24" s="29"/>
      <c r="N24" s="29"/>
      <c r="P24" s="4">
        <f>IF(L24&gt;K24,K24/L24,L24/K24)</f>
        <v>0.8</v>
      </c>
      <c r="Q24" s="4">
        <f>IF(MIN(K24,L24)&lt;=4, 0,IF(MIN(K24,L24)&lt;20,56.5-2.3*MIN(K24,L24),10))</f>
        <v>38.389763779527556</v>
      </c>
      <c r="R24" s="17"/>
      <c r="T24" s="12"/>
      <c r="U24" s="12">
        <f>IF(AND(Q24&lt;=45,L24&gt;K24),2.6*SIN(RADIANS(Q24)/2)*(1-P24^2)^2, IF(AND(Q24&gt;45,L24&gt;K24),(1-P24^2)^2,IF(AND(Q24&lt;=45,K24&gt;L24),0.8*SIN(RADIANS(Q24)/2)*(1-P24^2)/P24^4,IF(AND(Q24&gt;45,K24&gt;L24),0.5*(1-P24^2)*SIN(RADIANS(Q24)/2)^0.5/P24^4,0))))</f>
        <v>0.23117504504917119</v>
      </c>
      <c r="V24" s="4">
        <f>PI()*K24^2/4/144</f>
        <v>0.52837221701615489</v>
      </c>
      <c r="W24" s="4">
        <f>IF(B24="included",$K$17/7.48/60/V24,0)</f>
        <v>4.6789099943452213</v>
      </c>
      <c r="X24" s="20"/>
      <c r="AA24" s="20"/>
      <c r="AB24" s="50" t="s">
        <v>59</v>
      </c>
      <c r="AC24" s="46">
        <v>13.125999999999999</v>
      </c>
      <c r="AD24" s="20"/>
      <c r="AE24" s="20"/>
      <c r="AF24" s="20"/>
      <c r="AG24" s="20"/>
      <c r="AH24" s="20"/>
      <c r="AI24" s="20"/>
    </row>
    <row r="25" spans="1:35" ht="13.5" x14ac:dyDescent="0.25">
      <c r="A25" s="8" t="s">
        <v>87</v>
      </c>
      <c r="B25" s="55" t="s">
        <v>2</v>
      </c>
      <c r="C25" s="2" t="s">
        <v>82</v>
      </c>
      <c r="D25" s="55">
        <v>200</v>
      </c>
      <c r="E25" s="9" t="s">
        <v>6</v>
      </c>
      <c r="F25" s="55" t="s">
        <v>73</v>
      </c>
      <c r="G25" s="14"/>
      <c r="H25" s="40">
        <f>2.9853*U25*W25^2/2/32.174</f>
        <v>1.1530119626066397</v>
      </c>
      <c r="I25" s="29"/>
      <c r="J25" s="29"/>
      <c r="K25" s="29">
        <f>D25/25.4</f>
        <v>7.8740157480314963</v>
      </c>
      <c r="L25" s="29"/>
      <c r="M25" s="29"/>
      <c r="N25" s="29"/>
      <c r="O25" s="18">
        <f>VLOOKUP(F25,$Y$6:$Z$14,2,FALSE)</f>
        <v>30</v>
      </c>
      <c r="Q25" s="3"/>
      <c r="R25" s="16">
        <f>12*$Z$4/K25</f>
        <v>2.286E-4</v>
      </c>
      <c r="S25" s="10">
        <f>3600*62.4*W25*K25/12/$N$22</f>
        <v>631176.08539057267</v>
      </c>
      <c r="T25" s="11">
        <f>IF(B25="included",0.25/(LOG(R25/3.7+5.74/S25^0.9))^2,0)</f>
        <v>1.5499946409933426E-2</v>
      </c>
      <c r="U25" s="12">
        <f>O25*T25</f>
        <v>0.46499839229800277</v>
      </c>
      <c r="V25" s="4">
        <f>PI()*K25^2/4/144</f>
        <v>0.33815821889033915</v>
      </c>
      <c r="W25" s="4">
        <f>IF(B25="included",$K$17/7.48/60/V25,0)</f>
        <v>7.3107968661644085</v>
      </c>
      <c r="X25" s="20"/>
      <c r="AA25" s="20"/>
      <c r="AB25" s="50" t="s">
        <v>60</v>
      </c>
      <c r="AC25" s="48">
        <v>15.25</v>
      </c>
      <c r="AD25" s="20"/>
      <c r="AE25" s="20"/>
      <c r="AF25" s="20"/>
      <c r="AG25" s="20"/>
      <c r="AH25" s="20"/>
      <c r="AI25" s="20"/>
    </row>
    <row r="26" spans="1:35" ht="14.25" thickBot="1" x14ac:dyDescent="0.3">
      <c r="E26" s="2"/>
      <c r="R26" s="17"/>
      <c r="T26" s="12"/>
      <c r="U26" s="12"/>
      <c r="V26" s="4"/>
      <c r="W26" s="4"/>
      <c r="X26" s="20"/>
      <c r="AA26" s="20"/>
      <c r="AB26" s="50" t="s">
        <v>61</v>
      </c>
      <c r="AC26" s="48">
        <v>17.25</v>
      </c>
      <c r="AD26" s="20"/>
      <c r="AE26" s="20"/>
      <c r="AF26" s="20"/>
      <c r="AG26" s="20"/>
      <c r="AH26" s="20"/>
      <c r="AI26" s="20"/>
    </row>
    <row r="27" spans="1:35" ht="14.25" thickBot="1" x14ac:dyDescent="0.3">
      <c r="E27" s="2"/>
      <c r="G27" s="14" t="s">
        <v>88</v>
      </c>
      <c r="H27" s="39">
        <f>SUM(H18:H25)</f>
        <v>3.132859689823527</v>
      </c>
      <c r="P27" s="3"/>
      <c r="Q27" s="3"/>
      <c r="R27" s="16"/>
      <c r="S27" s="10"/>
      <c r="T27" s="11"/>
      <c r="U27" s="12"/>
      <c r="V27" s="4"/>
      <c r="W27" s="4"/>
      <c r="X27" s="20"/>
      <c r="AA27" s="20"/>
      <c r="AB27" s="50" t="s">
        <v>63</v>
      </c>
      <c r="AC27" s="48">
        <v>17.126000000000001</v>
      </c>
      <c r="AD27" s="20"/>
      <c r="AE27" s="20"/>
      <c r="AF27" s="20"/>
      <c r="AG27" s="20"/>
      <c r="AH27" s="20"/>
      <c r="AI27" s="20"/>
    </row>
    <row r="28" spans="1:35" ht="13.5" x14ac:dyDescent="0.25">
      <c r="T28" s="4"/>
      <c r="U28" s="4"/>
      <c r="X28" s="20"/>
      <c r="AA28" s="20"/>
      <c r="AB28" s="50" t="s">
        <v>64</v>
      </c>
      <c r="AC28" s="48">
        <v>19.25</v>
      </c>
      <c r="AD28" s="20"/>
      <c r="AE28" s="20"/>
      <c r="AF28" s="20"/>
      <c r="AG28" s="20"/>
      <c r="AH28" s="20"/>
      <c r="AI28" s="20"/>
    </row>
    <row r="29" spans="1:35" ht="14.25" thickBot="1" x14ac:dyDescent="0.3">
      <c r="C29" t="s">
        <v>66</v>
      </c>
      <c r="T29" s="4"/>
      <c r="U29" s="4"/>
      <c r="X29" s="20"/>
      <c r="AA29" s="20"/>
      <c r="AB29" s="51" t="s">
        <v>65</v>
      </c>
      <c r="AC29" s="52">
        <v>19</v>
      </c>
      <c r="AD29" s="20"/>
      <c r="AE29" s="20"/>
      <c r="AF29" s="20"/>
      <c r="AG29" s="20"/>
      <c r="AH29" s="20"/>
      <c r="AI29" s="20"/>
    </row>
    <row r="30" spans="1:35" x14ac:dyDescent="0.2">
      <c r="A30" t="s">
        <v>69</v>
      </c>
      <c r="T30" s="4"/>
      <c r="U30" s="4"/>
      <c r="X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ht="25.5" customHeight="1" x14ac:dyDescent="0.2">
      <c r="A31" s="59" t="s">
        <v>71</v>
      </c>
      <c r="B31" s="59"/>
      <c r="C31" s="59"/>
      <c r="D31" s="59"/>
      <c r="E31" s="59"/>
      <c r="F31" s="59"/>
      <c r="G31" s="59"/>
      <c r="H31" s="59"/>
      <c r="T31" s="4"/>
      <c r="U31" s="4"/>
      <c r="X31" s="20"/>
      <c r="AA31" s="22"/>
      <c r="AB31" s="20"/>
      <c r="AC31" s="19"/>
      <c r="AD31" s="20"/>
      <c r="AE31" s="20"/>
      <c r="AF31" s="20"/>
      <c r="AG31" s="20"/>
      <c r="AH31" s="20"/>
      <c r="AI31" s="20"/>
    </row>
    <row r="32" spans="1:35" ht="24.75" customHeight="1" x14ac:dyDescent="0.2">
      <c r="A32" s="59" t="s">
        <v>72</v>
      </c>
      <c r="B32" s="59"/>
      <c r="C32" s="59"/>
      <c r="D32" s="59"/>
      <c r="E32" s="59"/>
      <c r="F32" s="59"/>
      <c r="G32" s="59"/>
      <c r="H32" s="59"/>
      <c r="T32" s="4"/>
      <c r="U32" s="4"/>
      <c r="X32" s="20"/>
      <c r="AA32" s="19"/>
      <c r="AB32" s="20"/>
      <c r="AC32" s="23"/>
      <c r="AD32" s="20"/>
      <c r="AE32" s="20"/>
      <c r="AF32" s="20"/>
      <c r="AG32" s="20"/>
      <c r="AH32" s="20"/>
      <c r="AI32" s="20"/>
    </row>
    <row r="33" spans="3:35" x14ac:dyDescent="0.2">
      <c r="T33" s="4"/>
      <c r="U33" s="4"/>
      <c r="X33" s="20"/>
      <c r="AA33" s="19"/>
      <c r="AB33" s="20"/>
      <c r="AC33" s="23"/>
      <c r="AD33" s="20"/>
      <c r="AE33" s="20"/>
      <c r="AF33" s="20"/>
      <c r="AG33" s="20"/>
      <c r="AH33" s="20"/>
      <c r="AI33" s="20"/>
    </row>
    <row r="34" spans="3:35" x14ac:dyDescent="0.2">
      <c r="T34" s="4"/>
      <c r="U34" s="4"/>
      <c r="X34" s="20"/>
      <c r="AA34" s="19"/>
      <c r="AB34" s="20"/>
      <c r="AC34" s="23"/>
      <c r="AD34" s="20"/>
      <c r="AE34" s="20"/>
      <c r="AF34" s="20"/>
      <c r="AG34" s="20"/>
      <c r="AH34" s="20"/>
      <c r="AI34" s="20"/>
    </row>
    <row r="35" spans="3:35" x14ac:dyDescent="0.2">
      <c r="T35" s="4"/>
      <c r="U35" s="4"/>
      <c r="X35" s="20"/>
      <c r="AA35" s="19"/>
      <c r="AB35" s="20"/>
      <c r="AC35" s="23"/>
      <c r="AD35" s="20"/>
      <c r="AE35" s="20"/>
      <c r="AF35" s="20"/>
      <c r="AG35" s="20"/>
      <c r="AH35" s="20"/>
      <c r="AI35" s="20"/>
    </row>
    <row r="36" spans="3:35" x14ac:dyDescent="0.2">
      <c r="T36" s="4"/>
      <c r="U36" s="4"/>
      <c r="X36" s="20"/>
      <c r="AA36" s="19"/>
      <c r="AB36" s="20"/>
      <c r="AC36" s="23"/>
      <c r="AD36" s="20"/>
      <c r="AE36" s="20"/>
      <c r="AF36" s="20"/>
      <c r="AG36" s="20"/>
      <c r="AH36" s="20"/>
      <c r="AI36" s="20"/>
    </row>
    <row r="37" spans="3:35" x14ac:dyDescent="0.2">
      <c r="T37" s="4"/>
      <c r="U37" s="4"/>
      <c r="X37" s="20"/>
      <c r="AA37" s="19"/>
      <c r="AB37" s="20"/>
      <c r="AC37" s="23"/>
      <c r="AD37" s="20"/>
      <c r="AE37" s="20"/>
      <c r="AF37" s="20"/>
      <c r="AG37" s="20"/>
      <c r="AH37" s="20"/>
      <c r="AI37" s="20"/>
    </row>
    <row r="38" spans="3:35" x14ac:dyDescent="0.2">
      <c r="T38" s="4"/>
      <c r="U38" s="4"/>
      <c r="X38" s="20"/>
      <c r="AA38" s="19"/>
      <c r="AB38" s="20"/>
      <c r="AC38" s="23"/>
      <c r="AD38" s="20"/>
      <c r="AE38" s="20"/>
      <c r="AF38" s="20"/>
      <c r="AG38" s="20"/>
      <c r="AH38" s="20"/>
      <c r="AI38" s="20"/>
    </row>
    <row r="39" spans="3:35" x14ac:dyDescent="0.2">
      <c r="T39" s="4"/>
      <c r="U39" s="4"/>
      <c r="X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3:35" x14ac:dyDescent="0.2">
      <c r="T40" s="4"/>
      <c r="U40" s="4"/>
      <c r="X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3:35" x14ac:dyDescent="0.2">
      <c r="T41" s="4"/>
      <c r="X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3:35" x14ac:dyDescent="0.2">
      <c r="T42" s="4"/>
      <c r="X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3:35" x14ac:dyDescent="0.2">
      <c r="T43" s="4"/>
      <c r="X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3:35" ht="13.5" x14ac:dyDescent="0.25">
      <c r="C44" s="7"/>
      <c r="T44" s="4"/>
      <c r="X44" s="20"/>
      <c r="Y44" s="42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3:35" ht="13.5" x14ac:dyDescent="0.25">
      <c r="T45" s="4"/>
      <c r="X45" s="20"/>
      <c r="Y45" s="42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3:35" ht="13.5" x14ac:dyDescent="0.25">
      <c r="T46" s="4"/>
      <c r="X46" s="20"/>
      <c r="Y46" s="42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3:35" ht="13.5" x14ac:dyDescent="0.25">
      <c r="T47" s="4"/>
      <c r="X47" s="20"/>
      <c r="Y47" s="41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3:35" ht="13.5" x14ac:dyDescent="0.25">
      <c r="T48" s="4"/>
      <c r="X48" s="20"/>
      <c r="Y48" s="41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20:35" ht="13.5" x14ac:dyDescent="0.25">
      <c r="T49" s="4"/>
      <c r="X49" s="20"/>
      <c r="Y49" s="41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20:35" ht="13.5" x14ac:dyDescent="0.25">
      <c r="T50" s="4"/>
      <c r="X50" s="20"/>
      <c r="Y50" s="41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20:35" ht="13.5" x14ac:dyDescent="0.25">
      <c r="X51" s="20"/>
      <c r="Y51" s="41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20:35" ht="13.5" x14ac:dyDescent="0.25">
      <c r="X52" s="20"/>
      <c r="Y52" s="41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20:35" ht="13.5" x14ac:dyDescent="0.25">
      <c r="X53" s="20"/>
      <c r="Y53" s="41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20:35" ht="13.5" x14ac:dyDescent="0.25">
      <c r="X54" s="20"/>
      <c r="Y54" s="41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20:35" ht="13.5" x14ac:dyDescent="0.25">
      <c r="Y55" s="41"/>
    </row>
    <row r="56" spans="20:35" x14ac:dyDescent="0.2">
      <c r="Y56" s="20"/>
    </row>
  </sheetData>
  <sheetProtection sheet="1" objects="1" scenarios="1"/>
  <mergeCells count="3">
    <mergeCell ref="AB2:AC2"/>
    <mergeCell ref="A31:H31"/>
    <mergeCell ref="A32:H32"/>
  </mergeCells>
  <conditionalFormatting sqref="C5 E5 G5:H5">
    <cfRule type="expression" dxfId="7" priority="8">
      <formula>$B$5="none"</formula>
    </cfRule>
  </conditionalFormatting>
  <conditionalFormatting sqref="C6 E6:H6">
    <cfRule type="expression" dxfId="6" priority="7">
      <formula>$B$6="none"</formula>
    </cfRule>
  </conditionalFormatting>
  <conditionalFormatting sqref="C10 E10 G10:H10">
    <cfRule type="expression" dxfId="5" priority="6">
      <formula>$B$10="none"</formula>
    </cfRule>
  </conditionalFormatting>
  <conditionalFormatting sqref="C11 E11:H11">
    <cfRule type="expression" dxfId="4" priority="5">
      <formula>$B$11="none"</formula>
    </cfRule>
  </conditionalFormatting>
  <conditionalFormatting sqref="C19:H19">
    <cfRule type="expression" dxfId="3" priority="4">
      <formula>$B$19="none"</formula>
    </cfRule>
  </conditionalFormatting>
  <conditionalFormatting sqref="C20:H20">
    <cfRule type="expression" dxfId="2" priority="3">
      <formula>$B$20="none"</formula>
    </cfRule>
  </conditionalFormatting>
  <conditionalFormatting sqref="C24:H24">
    <cfRule type="expression" dxfId="1" priority="2">
      <formula>$B$24="none"</formula>
    </cfRule>
  </conditionalFormatting>
  <conditionalFormatting sqref="C25:H25">
    <cfRule type="expression" dxfId="0" priority="1">
      <formula>$B$25="none"</formula>
    </cfRule>
  </conditionalFormatting>
  <dataValidations count="2">
    <dataValidation type="list" allowBlank="1" showInputMessage="1" showErrorMessage="1" sqref="B10:B11 B19:B20 B24:B25 B5:B6">
      <formula1>"none,included"</formula1>
    </dataValidation>
    <dataValidation type="list" allowBlank="1" showInputMessage="1" showErrorMessage="1" sqref="F6 F11 F20 F25">
      <formula1>$Y$7:$Y$14</formula1>
    </dataValidation>
  </dataValidations>
  <pageMargins left="0.75" right="0.75" top="1" bottom="1" header="0.5" footer="0.5"/>
  <pageSetup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Pd Adjust</vt:lpstr>
      <vt:lpstr>Pd Adjust (SI)</vt:lpstr>
      <vt:lpstr>'Pd Adjust'!Print_Area</vt:lpstr>
      <vt:lpstr>'Pd Adjust (SI)'!Print_Area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Sullivan, Brian</dc:creator>
  <cp:lastModifiedBy>Sullivan, Brian</cp:lastModifiedBy>
  <cp:lastPrinted>2010-11-05T15:46:37Z</cp:lastPrinted>
  <dcterms:created xsi:type="dcterms:W3CDTF">1996-10-14T23:33:28Z</dcterms:created>
  <dcterms:modified xsi:type="dcterms:W3CDTF">2011-11-22T15:04:05Z</dcterms:modified>
</cp:coreProperties>
</file>