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mamcioglu\Desktop\410 forms update 3.1.2023\2023\"/>
    </mc:Choice>
  </mc:AlternateContent>
  <xr:revisionPtr revIDLastSave="0" documentId="8_{77BBB59D-4625-4FFE-9D77-2B52ACED006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 410-5 IP Units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2" i="1" l="1"/>
  <c r="P102" i="1"/>
  <c r="Q102" i="1"/>
  <c r="N102" i="1"/>
  <c r="N84" i="1"/>
  <c r="Q84" i="1"/>
  <c r="P84" i="1"/>
  <c r="O84" i="1"/>
  <c r="N44" i="1"/>
  <c r="Q44" i="1"/>
  <c r="P44" i="1"/>
  <c r="N43" i="1"/>
  <c r="Q43" i="1"/>
  <c r="P43" i="1"/>
  <c r="O44" i="1"/>
  <c r="O43" i="1"/>
  <c r="L65" i="1"/>
  <c r="L41" i="1"/>
  <c r="N26" i="1"/>
  <c r="N38" i="1"/>
  <c r="Q94" i="1"/>
  <c r="Q95" i="1" s="1"/>
  <c r="Q56" i="1"/>
  <c r="Q61" i="1" s="1"/>
  <c r="P56" i="1"/>
  <c r="O56" i="1"/>
  <c r="N56" i="1"/>
  <c r="Q55" i="1"/>
  <c r="P55" i="1"/>
  <c r="O55" i="1"/>
  <c r="N55" i="1"/>
  <c r="Q96" i="1"/>
  <c r="P96" i="1"/>
  <c r="O96" i="1"/>
  <c r="Q73" i="1"/>
  <c r="Q42" i="1" l="1"/>
  <c r="P42" i="1"/>
  <c r="O42" i="1"/>
  <c r="O41" i="1" s="1"/>
  <c r="N42" i="1"/>
  <c r="O73" i="1" l="1"/>
  <c r="O76" i="1" s="1"/>
  <c r="Q41" i="1"/>
  <c r="Q77" i="1" s="1"/>
  <c r="N41" i="1"/>
  <c r="P41" i="1"/>
  <c r="P73" i="1" s="1"/>
  <c r="P76" i="1" s="1"/>
  <c r="Q97" i="1"/>
  <c r="P97" i="1"/>
  <c r="O97" i="1"/>
  <c r="Q63" i="1"/>
  <c r="Q66" i="1" s="1"/>
  <c r="Q65" i="1" s="1"/>
  <c r="Q58" i="1"/>
  <c r="Q28" i="1"/>
  <c r="P28" i="1"/>
  <c r="O28" i="1"/>
  <c r="N28" i="1"/>
  <c r="Q26" i="1"/>
  <c r="P26" i="1"/>
  <c r="O26" i="1"/>
  <c r="Q38" i="1"/>
  <c r="P38" i="1"/>
  <c r="O38" i="1"/>
  <c r="Q24" i="1"/>
  <c r="Q48" i="1" s="1"/>
  <c r="Q74" i="1" s="1"/>
  <c r="P24" i="1"/>
  <c r="P48" i="1" s="1"/>
  <c r="P74" i="1" s="1"/>
  <c r="O24" i="1"/>
  <c r="O48" i="1" s="1"/>
  <c r="P87" i="1" l="1"/>
  <c r="P86" i="1"/>
  <c r="P85" i="1" s="1"/>
  <c r="P94" i="1" s="1"/>
  <c r="P95" i="1" s="1"/>
  <c r="P91" i="1"/>
  <c r="Q68" i="1"/>
  <c r="Q81" i="1" s="1"/>
  <c r="Q82" i="1"/>
  <c r="O86" i="1"/>
  <c r="O87" i="1"/>
  <c r="Q90" i="1"/>
  <c r="Q89" i="1"/>
  <c r="O104" i="1"/>
  <c r="Q104" i="1"/>
  <c r="P90" i="1"/>
  <c r="P89" i="1"/>
  <c r="P104" i="1"/>
  <c r="N73" i="1"/>
  <c r="N104" i="1"/>
  <c r="O74" i="1"/>
  <c r="O75" i="1" s="1"/>
  <c r="O77" i="1"/>
  <c r="P75" i="1"/>
  <c r="P77" i="1"/>
  <c r="Q76" i="1"/>
  <c r="Q75" i="1"/>
  <c r="O49" i="1"/>
  <c r="Q49" i="1"/>
  <c r="O57" i="1"/>
  <c r="Q57" i="1"/>
  <c r="O71" i="1"/>
  <c r="Q71" i="1"/>
  <c r="P49" i="1"/>
  <c r="P57" i="1"/>
  <c r="P71" i="1"/>
  <c r="N24" i="1"/>
  <c r="N48" i="1" s="1"/>
  <c r="N74" i="1" s="1"/>
  <c r="Q16" i="1"/>
  <c r="Q31" i="1" s="1"/>
  <c r="P16" i="1"/>
  <c r="P31" i="1" s="1"/>
  <c r="O16" i="1"/>
  <c r="O31" i="1" s="1"/>
  <c r="N16" i="1"/>
  <c r="P61" i="1" l="1"/>
  <c r="P63" i="1" s="1"/>
  <c r="P66" i="1" s="1"/>
  <c r="P65" i="1" s="1"/>
  <c r="P58" i="1"/>
  <c r="O85" i="1"/>
  <c r="O91" i="1"/>
  <c r="P88" i="1"/>
  <c r="Q88" i="1"/>
  <c r="O94" i="1"/>
  <c r="O95" i="1" s="1"/>
  <c r="Q91" i="1"/>
  <c r="O61" i="1"/>
  <c r="O63" i="1" s="1"/>
  <c r="O66" i="1" s="1"/>
  <c r="O65" i="1" s="1"/>
  <c r="O58" i="1"/>
  <c r="N76" i="1"/>
  <c r="N96" i="1"/>
  <c r="N97" i="1" s="1"/>
  <c r="N77" i="1"/>
  <c r="N31" i="1"/>
  <c r="O90" i="1"/>
  <c r="O89" i="1"/>
  <c r="Q86" i="1"/>
  <c r="Q85" i="1" s="1"/>
  <c r="Q87" i="1"/>
  <c r="N57" i="1"/>
  <c r="N61" i="1" s="1"/>
  <c r="P22" i="1"/>
  <c r="O22" i="1"/>
  <c r="Q22" i="1"/>
  <c r="N22" i="1"/>
  <c r="P68" i="1" l="1"/>
  <c r="P81" i="1" s="1"/>
  <c r="P82" i="1" s="1"/>
  <c r="N87" i="1"/>
  <c r="O88" i="1"/>
  <c r="O68" i="1"/>
  <c r="O81" i="1" s="1"/>
  <c r="N86" i="1"/>
  <c r="N58" i="1"/>
  <c r="N63" i="1"/>
  <c r="N66" i="1" s="1"/>
  <c r="N75" i="1"/>
  <c r="N71" i="1"/>
  <c r="N49" i="1"/>
  <c r="O82" i="1" l="1"/>
  <c r="N91" i="1"/>
  <c r="N65" i="1"/>
  <c r="N68" i="1" s="1"/>
  <c r="N81" i="1" s="1"/>
  <c r="N85" i="1"/>
  <c r="N94" i="1" s="1"/>
  <c r="N95" i="1" s="1"/>
  <c r="N89" i="1"/>
  <c r="N90" i="1"/>
  <c r="N88" i="1" l="1"/>
  <c r="N82" i="1"/>
</calcChain>
</file>

<file path=xl/sharedStrings.xml><?xml version="1.0" encoding="utf-8"?>
<sst xmlns="http://schemas.openxmlformats.org/spreadsheetml/2006/main" count="289" uniqueCount="246">
  <si>
    <t>Company</t>
  </si>
  <si>
    <t>Date</t>
  </si>
  <si>
    <t>Coil Line:</t>
  </si>
  <si>
    <t>Coil Type:</t>
  </si>
  <si>
    <t>Coil Surface:</t>
  </si>
  <si>
    <t>GENERAL PROCEDURE</t>
  </si>
  <si>
    <t>Steam Coils</t>
  </si>
  <si>
    <t>Item No.</t>
  </si>
  <si>
    <t>Item Abbr.</t>
  </si>
  <si>
    <t>Item Description</t>
  </si>
  <si>
    <t>Calculation Procedure</t>
  </si>
  <si>
    <t>Number of Tube Circuits in Coil</t>
  </si>
  <si>
    <t>Total Number of Tubes in Coil</t>
  </si>
  <si>
    <t>Total Cross-Sectional Fluid Flow Area</t>
  </si>
  <si>
    <t>Equivalent Length of Coil Circuit per Return Bend</t>
  </si>
  <si>
    <t>Total Equivalent Length of Coil Circuit</t>
  </si>
  <si>
    <t>Entering Water Temperature</t>
  </si>
  <si>
    <t>Water Flow Rate</t>
  </si>
  <si>
    <t>psi</t>
  </si>
  <si>
    <t>Hot or Cold Water Coils</t>
  </si>
  <si>
    <t>Solution Procedure Steps for Specific Coil Application</t>
  </si>
  <si>
    <t>General Procedure</t>
  </si>
  <si>
    <t>H</t>
  </si>
  <si>
    <t>L</t>
  </si>
  <si>
    <t>B</t>
  </si>
  <si>
    <t>Surface Ratio (See Form 410-1)</t>
  </si>
  <si>
    <t>Total External Coil Surface</t>
  </si>
  <si>
    <t>Tube Inside Diameter</t>
  </si>
  <si>
    <t>Straight Tube Length per Tube Pass</t>
  </si>
  <si>
    <t>Air Volume Flow at Standard Conditions</t>
  </si>
  <si>
    <t>scfm</t>
  </si>
  <si>
    <t>Standard Air Face Velocity</t>
  </si>
  <si>
    <t>ft/min</t>
  </si>
  <si>
    <t>Entering Air Dry-Bulb Temperature</t>
  </si>
  <si>
    <t>Avg. Standard Water Velocity</t>
  </si>
  <si>
    <t>Avg. Absolute Static Pressure at Coil</t>
  </si>
  <si>
    <t>Inlet Steam Gauge Pressure to Coil</t>
  </si>
  <si>
    <t>Inlet Steam Temperature to Coil</t>
  </si>
  <si>
    <t>Coil Inlet Steam Pressure</t>
  </si>
  <si>
    <t>psia</t>
  </si>
  <si>
    <t>psig</t>
  </si>
  <si>
    <t>Btu/lb</t>
  </si>
  <si>
    <t>R</t>
  </si>
  <si>
    <t>M</t>
  </si>
  <si>
    <t>E</t>
  </si>
  <si>
    <t>Air-Side Effectiveness</t>
  </si>
  <si>
    <t>Coil Sensible Heat</t>
  </si>
  <si>
    <t>Air Temperature Rise or Drop Across Coil</t>
  </si>
  <si>
    <t>Leaving Air Temperature at Coil</t>
  </si>
  <si>
    <t>Water Temperature Rise or Drop Across Coil</t>
  </si>
  <si>
    <t>Calculated Row Depth Required</t>
  </si>
  <si>
    <t>Integral Coil Row Depth Installed</t>
  </si>
  <si>
    <t>Air-Side Pressure Drop Correction Factor</t>
  </si>
  <si>
    <t>Total Steam Condensate Mass Flow Rate Through Coil</t>
  </si>
  <si>
    <t>Steam Flow Rate per Tube Circuit</t>
  </si>
  <si>
    <t>for Steam Coils -&gt;</t>
  </si>
  <si>
    <t>ft H20</t>
  </si>
  <si>
    <t>Water Pressure Drop Across Coil at Job Conditions</t>
  </si>
  <si>
    <t>Steam Pressure Drop Inside Tubes at Job Conditions</t>
  </si>
  <si>
    <t>Coil Face Height</t>
  </si>
  <si>
    <t>Coil Face Length</t>
  </si>
  <si>
    <t>Coil Face Area</t>
  </si>
  <si>
    <t>Dimensions, IP</t>
  </si>
  <si>
    <t>COIL PHYSICAL DATA</t>
  </si>
  <si>
    <t>ft/s</t>
  </si>
  <si>
    <t>-</t>
  </si>
  <si>
    <t>Initial Estimate of Water Side Film Heat Transfer Coefficient</t>
  </si>
  <si>
    <t xml:space="preserve">Fouling Factor Allowance for Water  (assumed to be zero unless otherwise specified) </t>
  </si>
  <si>
    <t>TUBE-SIDE PRESSURE DROP CALCULATIONS</t>
  </si>
  <si>
    <t>CALCULATIONS TO SOLVE FOR ROWS DEEP</t>
  </si>
  <si>
    <t>SUGGESTED FORM FOR RATING CALCULATION PROCEDURE FOR SENSIBLE HEAT AIR COILS (Imperial Units, IP)                                                                                                                                                                              AHRI CERTIFICATION PROGRAM FOR FORCED-CIRCULATION AIR-COOLING AND AIR-HEATING COILS</t>
  </si>
  <si>
    <r>
      <t>Q</t>
    </r>
    <r>
      <rPr>
        <vertAlign val="subscript"/>
        <sz val="8"/>
        <rFont val="Calibri"/>
        <family val="2"/>
        <scheme val="minor"/>
      </rPr>
      <t>aSTD</t>
    </r>
  </si>
  <si>
    <r>
      <rPr>
        <sz val="8"/>
        <color theme="1"/>
        <rFont val="Arial"/>
        <family val="2"/>
      </rPr>
      <t>°</t>
    </r>
    <r>
      <rPr>
        <sz val="8"/>
        <color theme="1"/>
        <rFont val="Calibri"/>
        <family val="2"/>
        <scheme val="minor"/>
      </rPr>
      <t>F</t>
    </r>
  </si>
  <si>
    <r>
      <t>in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/row</t>
    </r>
  </si>
  <si>
    <r>
      <t>ft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 /ft</t>
    </r>
  </si>
  <si>
    <r>
      <t>ft H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0</t>
    </r>
  </si>
  <si>
    <t>in</t>
  </si>
  <si>
    <t>ft</t>
  </si>
  <si>
    <t>in Hg abs</t>
  </si>
  <si>
    <t>lb / hr</t>
  </si>
  <si>
    <t>Btu/h</t>
  </si>
  <si>
    <t>lb/h</t>
  </si>
  <si>
    <r>
      <t>lb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/ in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</rPr>
      <t>·</t>
    </r>
    <r>
      <rPr>
        <sz val="8"/>
        <color theme="1"/>
        <rFont val="Calibri"/>
        <family val="2"/>
        <scheme val="minor"/>
      </rPr>
      <t>ft</t>
    </r>
    <r>
      <rPr>
        <vertAlign val="superscript"/>
        <sz val="8"/>
        <color theme="1"/>
        <rFont val="Calibri"/>
        <family val="2"/>
        <scheme val="minor"/>
      </rPr>
      <t>3</t>
    </r>
  </si>
  <si>
    <r>
      <t>To Solve for Rows Deep (N</t>
    </r>
    <r>
      <rPr>
        <vertAlign val="subscript"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)</t>
    </r>
  </si>
  <si>
    <r>
      <t>To Solve for Capacity        (q</t>
    </r>
    <r>
      <rPr>
        <vertAlign val="subscript"/>
        <sz val="8"/>
        <color theme="1"/>
        <rFont val="Calibri"/>
        <family val="2"/>
        <scheme val="minor"/>
      </rPr>
      <t>s</t>
    </r>
    <r>
      <rPr>
        <sz val="8"/>
        <color theme="1"/>
        <rFont val="Calibri"/>
        <family val="2"/>
        <scheme val="minor"/>
      </rPr>
      <t>)</t>
    </r>
  </si>
  <si>
    <t>Steam Saturation Temperature Entering Coil                                                        From Pv1 and Steam Property Tables</t>
  </si>
  <si>
    <r>
      <t>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/(A</t>
    </r>
    <r>
      <rPr>
        <vertAlign val="subscript"/>
        <sz val="9"/>
        <rFont val="Calibri"/>
        <family val="2"/>
        <scheme val="minor"/>
      </rPr>
      <t>f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)</t>
    </r>
  </si>
  <si>
    <r>
      <t>A</t>
    </r>
    <r>
      <rPr>
        <vertAlign val="subscript"/>
        <sz val="8"/>
        <rFont val="Calibri"/>
        <family val="2"/>
        <scheme val="minor"/>
      </rPr>
      <t>f</t>
    </r>
  </si>
  <si>
    <r>
      <t>A</t>
    </r>
    <r>
      <rPr>
        <vertAlign val="subscript"/>
        <sz val="9"/>
        <rFont val="Calibri"/>
        <family val="2"/>
        <scheme val="minor"/>
      </rPr>
      <t>f</t>
    </r>
    <r>
      <rPr>
        <sz val="9"/>
        <rFont val="Calibri"/>
        <family val="2"/>
        <scheme val="minor"/>
      </rPr>
      <t xml:space="preserve"> =  H * L/144</t>
    </r>
  </si>
  <si>
    <r>
      <t>ft</t>
    </r>
    <r>
      <rPr>
        <vertAlign val="superscript"/>
        <sz val="8"/>
        <rFont val="Calibri"/>
        <family val="2"/>
        <scheme val="minor"/>
      </rPr>
      <t>2</t>
    </r>
  </si>
  <si>
    <r>
      <t>N</t>
    </r>
    <r>
      <rPr>
        <vertAlign val="subscript"/>
        <sz val="8"/>
        <rFont val="Calibri"/>
        <family val="2"/>
        <scheme val="minor"/>
      </rPr>
      <t>r</t>
    </r>
  </si>
  <si>
    <r>
      <t>N</t>
    </r>
    <r>
      <rPr>
        <vertAlign val="subscript"/>
        <sz val="8"/>
        <rFont val="Calibri"/>
        <family val="2"/>
        <scheme val="minor"/>
      </rPr>
      <t>t</t>
    </r>
  </si>
  <si>
    <r>
      <t>N</t>
    </r>
    <r>
      <rPr>
        <vertAlign val="subscript"/>
        <sz val="8"/>
        <rFont val="Calibri"/>
        <family val="2"/>
        <scheme val="minor"/>
      </rPr>
      <t>c</t>
    </r>
  </si>
  <si>
    <r>
      <t>A</t>
    </r>
    <r>
      <rPr>
        <vertAlign val="subscript"/>
        <sz val="8"/>
        <rFont val="Calibri"/>
        <family val="2"/>
        <scheme val="minor"/>
      </rPr>
      <t>o</t>
    </r>
  </si>
  <si>
    <r>
      <t>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 xml:space="preserve"> = 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/(A</t>
    </r>
    <r>
      <rPr>
        <vertAlign val="subscript"/>
        <sz val="9"/>
        <rFont val="Calibri"/>
        <family val="2"/>
        <scheme val="minor"/>
      </rPr>
      <t>f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)*A</t>
    </r>
    <r>
      <rPr>
        <vertAlign val="subscript"/>
        <sz val="9"/>
        <rFont val="Calibri"/>
        <family val="2"/>
        <scheme val="minor"/>
      </rPr>
      <t>f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r</t>
    </r>
  </si>
  <si>
    <r>
      <t>D</t>
    </r>
    <r>
      <rPr>
        <vertAlign val="subscript"/>
        <sz val="8"/>
        <rFont val="Calibri"/>
        <family val="2"/>
        <scheme val="minor"/>
      </rPr>
      <t>i</t>
    </r>
  </si>
  <si>
    <r>
      <t>A</t>
    </r>
    <r>
      <rPr>
        <vertAlign val="subscript"/>
        <sz val="9"/>
        <rFont val="Calibri"/>
        <family val="2"/>
        <scheme val="minor"/>
      </rPr>
      <t>ix</t>
    </r>
    <r>
      <rPr>
        <sz val="9"/>
        <rFont val="Calibri"/>
        <family val="2"/>
        <scheme val="minor"/>
      </rPr>
      <t xml:space="preserve"> = </t>
    </r>
    <r>
      <rPr>
        <sz val="9"/>
        <rFont val="Calibri"/>
        <family val="2"/>
      </rPr>
      <t>π</t>
    </r>
    <r>
      <rPr>
        <sz val="9.9"/>
        <rFont val="Calibri"/>
        <family val="2"/>
      </rPr>
      <t>/4*(</t>
    </r>
    <r>
      <rPr>
        <sz val="9"/>
        <rFont val="Calibri"/>
        <family val="2"/>
        <scheme val="minor"/>
      </rPr>
      <t>D</t>
    </r>
    <r>
      <rPr>
        <vertAlign val="subscript"/>
        <sz val="9"/>
        <rFont val="Calibri"/>
        <family val="2"/>
        <scheme val="minor"/>
      </rPr>
      <t>i</t>
    </r>
    <r>
      <rPr>
        <sz val="9"/>
        <rFont val="Calibri"/>
        <family val="2"/>
        <scheme val="minor"/>
      </rPr>
      <t>/12)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>*N</t>
    </r>
    <r>
      <rPr>
        <vertAlign val="subscript"/>
        <sz val="9"/>
        <rFont val="Calibri"/>
        <family val="2"/>
        <scheme val="minor"/>
      </rPr>
      <t>c</t>
    </r>
  </si>
  <si>
    <r>
      <t>L</t>
    </r>
    <r>
      <rPr>
        <vertAlign val="subscript"/>
        <sz val="8"/>
        <rFont val="Calibri"/>
        <family val="2"/>
        <scheme val="minor"/>
      </rPr>
      <t>s</t>
    </r>
  </si>
  <si>
    <r>
      <t>K</t>
    </r>
    <r>
      <rPr>
        <vertAlign val="subscript"/>
        <sz val="8"/>
        <rFont val="Calibri"/>
        <family val="2"/>
        <scheme val="minor"/>
      </rPr>
      <t>b</t>
    </r>
  </si>
  <si>
    <r>
      <t>L</t>
    </r>
    <r>
      <rPr>
        <vertAlign val="subscript"/>
        <sz val="8"/>
        <rFont val="Calibri"/>
        <family val="2"/>
        <scheme val="minor"/>
      </rPr>
      <t>e</t>
    </r>
  </si>
  <si>
    <r>
      <t>V</t>
    </r>
    <r>
      <rPr>
        <vertAlign val="subscript"/>
        <sz val="8"/>
        <rFont val="Calibri"/>
        <family val="2"/>
        <scheme val="minor"/>
      </rPr>
      <t>a</t>
    </r>
  </si>
  <si>
    <r>
      <t>t</t>
    </r>
    <r>
      <rPr>
        <vertAlign val="subscript"/>
        <sz val="8"/>
        <rFont val="Calibri"/>
        <family val="2"/>
        <scheme val="minor"/>
      </rPr>
      <t>1db</t>
    </r>
  </si>
  <si>
    <r>
      <rPr>
        <sz val="8"/>
        <rFont val="Arial"/>
        <family val="2"/>
      </rPr>
      <t>°</t>
    </r>
    <r>
      <rPr>
        <sz val="8"/>
        <rFont val="Calibri"/>
        <family val="2"/>
        <scheme val="minor"/>
      </rPr>
      <t>F</t>
    </r>
  </si>
  <si>
    <r>
      <t>V</t>
    </r>
    <r>
      <rPr>
        <vertAlign val="subscript"/>
        <sz val="8"/>
        <rFont val="Calibri"/>
        <family val="2"/>
        <scheme val="minor"/>
      </rPr>
      <t>w</t>
    </r>
  </si>
  <si>
    <r>
      <t>t</t>
    </r>
    <r>
      <rPr>
        <vertAlign val="subscript"/>
        <sz val="8"/>
        <rFont val="Calibri"/>
        <family val="2"/>
        <scheme val="minor"/>
      </rPr>
      <t>w1</t>
    </r>
  </si>
  <si>
    <r>
      <t>P</t>
    </r>
    <r>
      <rPr>
        <vertAlign val="subscript"/>
        <sz val="8"/>
        <rFont val="Calibri"/>
        <family val="2"/>
        <scheme val="minor"/>
      </rPr>
      <t>s</t>
    </r>
  </si>
  <si>
    <r>
      <t>P</t>
    </r>
    <r>
      <rPr>
        <vertAlign val="subscript"/>
        <sz val="8"/>
        <rFont val="Calibri"/>
        <family val="2"/>
        <scheme val="minor"/>
      </rPr>
      <t>v1</t>
    </r>
  </si>
  <si>
    <r>
      <t>t</t>
    </r>
    <r>
      <rPr>
        <vertAlign val="subscript"/>
        <sz val="8"/>
        <rFont val="Calibri"/>
        <family val="2"/>
        <scheme val="minor"/>
      </rPr>
      <t>v1</t>
    </r>
  </si>
  <si>
    <r>
      <t>P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 xml:space="preserve"> = P</t>
    </r>
    <r>
      <rPr>
        <vertAlign val="subscript"/>
        <sz val="9"/>
        <rFont val="Calibri"/>
        <family val="2"/>
        <scheme val="minor"/>
      </rPr>
      <t>v1(gauge)</t>
    </r>
    <r>
      <rPr>
        <sz val="9"/>
        <rFont val="Calibri"/>
        <family val="2"/>
        <scheme val="minor"/>
      </rPr>
      <t xml:space="preserve"> + 14.696/29.921*P</t>
    </r>
    <r>
      <rPr>
        <vertAlign val="subscript"/>
        <sz val="9"/>
        <rFont val="Calibri"/>
        <family val="2"/>
        <scheme val="minor"/>
      </rPr>
      <t>s</t>
    </r>
  </si>
  <si>
    <r>
      <t>t</t>
    </r>
    <r>
      <rPr>
        <vertAlign val="subscript"/>
        <sz val="8"/>
        <rFont val="Calibri"/>
        <family val="2"/>
        <scheme val="minor"/>
      </rPr>
      <t>v1g</t>
    </r>
  </si>
  <si>
    <r>
      <t>v</t>
    </r>
    <r>
      <rPr>
        <vertAlign val="subscript"/>
        <sz val="8"/>
        <rFont val="Calibri"/>
        <family val="2"/>
        <scheme val="minor"/>
      </rPr>
      <t>v1</t>
    </r>
  </si>
  <si>
    <r>
      <t>ft</t>
    </r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>/lb</t>
    </r>
  </si>
  <si>
    <r>
      <t>h</t>
    </r>
    <r>
      <rPr>
        <vertAlign val="subscript"/>
        <sz val="8"/>
        <rFont val="Calibri"/>
        <family val="2"/>
        <scheme val="minor"/>
      </rPr>
      <t>v1</t>
    </r>
  </si>
  <si>
    <r>
      <t>Enthalpy of Steam Entering Coil                From t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>, P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>, and Steam Property Tables</t>
    </r>
  </si>
  <si>
    <r>
      <t>h</t>
    </r>
    <r>
      <rPr>
        <vertAlign val="subscript"/>
        <sz val="8"/>
        <rFont val="Calibri"/>
        <family val="2"/>
        <scheme val="minor"/>
      </rPr>
      <t>f2</t>
    </r>
  </si>
  <si>
    <r>
      <t>t</t>
    </r>
    <r>
      <rPr>
        <vertAlign val="subscript"/>
        <sz val="8"/>
        <rFont val="Calibri"/>
        <family val="2"/>
        <scheme val="minor"/>
      </rPr>
      <t>wm</t>
    </r>
  </si>
  <si>
    <r>
      <t>w</t>
    </r>
    <r>
      <rPr>
        <vertAlign val="subscript"/>
        <sz val="8"/>
        <rFont val="Calibri"/>
        <family val="2"/>
        <scheme val="minor"/>
      </rPr>
      <t>w</t>
    </r>
  </si>
  <si>
    <r>
      <t>ρ</t>
    </r>
    <r>
      <rPr>
        <vertAlign val="subscript"/>
        <sz val="8"/>
        <rFont val="Calibri"/>
        <family val="2"/>
      </rPr>
      <t>w</t>
    </r>
  </si>
  <si>
    <r>
      <t>Density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</si>
  <si>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lb/ft</t>
    </r>
    <r>
      <rPr>
        <vertAlign val="superscript"/>
        <sz val="8"/>
        <rFont val="Calibri"/>
        <family val="2"/>
        <scheme val="minor"/>
      </rPr>
      <t>3</t>
    </r>
  </si>
  <si>
    <r>
      <t>c</t>
    </r>
    <r>
      <rPr>
        <vertAlign val="subscript"/>
        <sz val="8"/>
        <rFont val="Calibri"/>
        <family val="2"/>
        <scheme val="minor"/>
      </rPr>
      <t>pw</t>
    </r>
  </si>
  <si>
    <r>
      <t>Specific Heat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</si>
  <si>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Btu/lb</t>
    </r>
    <r>
      <rPr>
        <sz val="8"/>
        <rFont val="Calibri"/>
        <family val="2"/>
      </rPr>
      <t>·°</t>
    </r>
    <r>
      <rPr>
        <sz val="8"/>
        <rFont val="Calibri"/>
        <family val="2"/>
        <scheme val="minor"/>
      </rPr>
      <t>F</t>
    </r>
  </si>
  <si>
    <r>
      <t>μ</t>
    </r>
    <r>
      <rPr>
        <vertAlign val="subscript"/>
        <sz val="8"/>
        <rFont val="Calibri"/>
        <family val="2"/>
        <scheme val="minor"/>
      </rPr>
      <t>w</t>
    </r>
  </si>
  <si>
    <r>
      <t>Dynamic Viscosity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</si>
  <si>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lb/ft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>h</t>
    </r>
  </si>
  <si>
    <r>
      <t>Thermal Conductivity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</si>
  <si>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Btu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>ft/ h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>ft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</rPr>
      <t>·°</t>
    </r>
    <r>
      <rPr>
        <sz val="8"/>
        <rFont val="Calibri"/>
        <family val="2"/>
        <scheme val="minor"/>
      </rPr>
      <t>F</t>
    </r>
  </si>
  <si>
    <r>
      <t>Pr</t>
    </r>
    <r>
      <rPr>
        <vertAlign val="subscript"/>
        <sz val="8"/>
        <rFont val="Calibri"/>
        <family val="2"/>
        <scheme val="minor"/>
      </rPr>
      <t>w</t>
    </r>
  </si>
  <si>
    <r>
      <t>Prandtl Number of Water at Mean Water Temp, t</t>
    </r>
    <r>
      <rPr>
        <vertAlign val="subscript"/>
        <sz val="9"/>
        <rFont val="Calibri"/>
        <family val="2"/>
        <scheme val="minor"/>
      </rPr>
      <t>wm</t>
    </r>
  </si>
  <si>
    <r>
      <t>c</t>
    </r>
    <r>
      <rPr>
        <vertAlign val="subscript"/>
        <sz val="9"/>
        <rFont val="Calibri"/>
        <family val="2"/>
        <scheme val="minor"/>
      </rPr>
      <t>pw</t>
    </r>
    <r>
      <rPr>
        <sz val="9"/>
        <rFont val="Calibri"/>
        <family val="2"/>
        <scheme val="minor"/>
      </rPr>
      <t>*</t>
    </r>
    <r>
      <rPr>
        <sz val="9"/>
        <rFont val="Calibri"/>
        <family val="2"/>
      </rPr>
      <t>μ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/k</t>
    </r>
    <r>
      <rPr>
        <vertAlign val="subscript"/>
        <sz val="9"/>
        <rFont val="Calibri"/>
        <family val="2"/>
        <scheme val="minor"/>
      </rPr>
      <t>w</t>
    </r>
  </si>
  <si>
    <r>
      <t>Pr</t>
    </r>
    <r>
      <rPr>
        <vertAlign val="subscript"/>
        <sz val="8"/>
        <rFont val="Calibri"/>
        <family val="2"/>
        <scheme val="minor"/>
      </rPr>
      <t>w</t>
    </r>
    <r>
      <rPr>
        <vertAlign val="superscript"/>
        <sz val="8"/>
        <rFont val="Calibri"/>
        <family val="2"/>
        <scheme val="minor"/>
      </rPr>
      <t>2/3</t>
    </r>
  </si>
  <si>
    <r>
      <t>(c</t>
    </r>
    <r>
      <rPr>
        <vertAlign val="subscript"/>
        <sz val="9"/>
        <rFont val="Calibri"/>
        <family val="2"/>
        <scheme val="minor"/>
      </rPr>
      <t>pw</t>
    </r>
    <r>
      <rPr>
        <sz val="9"/>
        <rFont val="Calibri"/>
        <family val="2"/>
        <scheme val="minor"/>
      </rPr>
      <t>*</t>
    </r>
    <r>
      <rPr>
        <sz val="9"/>
        <rFont val="Calibri"/>
        <family val="2"/>
      </rPr>
      <t>μ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/k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)</t>
    </r>
    <r>
      <rPr>
        <vertAlign val="superscript"/>
        <sz val="9"/>
        <rFont val="Calibri"/>
        <family val="2"/>
        <scheme val="minor"/>
      </rPr>
      <t>2/3</t>
    </r>
  </si>
  <si>
    <r>
      <t>G</t>
    </r>
    <r>
      <rPr>
        <vertAlign val="subscript"/>
        <sz val="8"/>
        <rFont val="Calibri"/>
        <family val="2"/>
        <scheme val="minor"/>
      </rPr>
      <t>w</t>
    </r>
  </si>
  <si>
    <r>
      <t>Mass Velocity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</si>
  <si>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w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/A</t>
    </r>
    <r>
      <rPr>
        <vertAlign val="subscript"/>
        <sz val="9"/>
        <rFont val="Calibri"/>
        <family val="2"/>
        <scheme val="minor"/>
      </rPr>
      <t>ix</t>
    </r>
  </si>
  <si>
    <r>
      <t>lb/h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>ft</t>
    </r>
    <r>
      <rPr>
        <vertAlign val="superscript"/>
        <sz val="8"/>
        <rFont val="Calibri"/>
        <family val="2"/>
        <scheme val="minor"/>
      </rPr>
      <t>2</t>
    </r>
  </si>
  <si>
    <r>
      <t>Re</t>
    </r>
    <r>
      <rPr>
        <vertAlign val="subscript"/>
        <sz val="8"/>
        <rFont val="Calibri"/>
        <family val="2"/>
        <scheme val="minor"/>
      </rPr>
      <t>w</t>
    </r>
  </si>
  <si>
    <r>
      <t>Reynolds Number of Water at Mean Water Temp., t</t>
    </r>
    <r>
      <rPr>
        <vertAlign val="subscript"/>
        <sz val="9"/>
        <rFont val="Calibri"/>
        <family val="2"/>
        <scheme val="minor"/>
      </rPr>
      <t>wm</t>
    </r>
  </si>
  <si>
    <r>
      <t>Re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= G</t>
    </r>
    <r>
      <rPr>
        <vertAlign val="subscript"/>
        <sz val="9"/>
        <rFont val="Calibri"/>
        <family val="2"/>
        <scheme val="minor"/>
      </rPr>
      <t>w*</t>
    </r>
    <r>
      <rPr>
        <sz val="9"/>
        <rFont val="Calibri"/>
        <family val="2"/>
        <scheme val="minor"/>
      </rPr>
      <t>D</t>
    </r>
    <r>
      <rPr>
        <vertAlign val="subscript"/>
        <sz val="9"/>
        <rFont val="Calibri"/>
        <family val="2"/>
        <scheme val="minor"/>
      </rPr>
      <t>i</t>
    </r>
    <r>
      <rPr>
        <sz val="9"/>
        <rFont val="Calibri"/>
        <family val="2"/>
        <scheme val="minor"/>
      </rPr>
      <t>/(12*</t>
    </r>
    <r>
      <rPr>
        <sz val="9"/>
        <rFont val="Calibri"/>
        <family val="2"/>
      </rPr>
      <t>μ</t>
    </r>
    <r>
      <rPr>
        <vertAlign val="subscript"/>
        <sz val="9"/>
        <rFont val="Calibri"/>
        <family val="2"/>
      </rPr>
      <t>w</t>
    </r>
    <r>
      <rPr>
        <sz val="9"/>
        <rFont val="Calibri"/>
        <family val="2"/>
      </rPr>
      <t>)</t>
    </r>
  </si>
  <si>
    <r>
      <t>j</t>
    </r>
    <r>
      <rPr>
        <vertAlign val="subscript"/>
        <sz val="8"/>
        <rFont val="Calibri"/>
        <family val="2"/>
        <scheme val="minor"/>
      </rPr>
      <t>w</t>
    </r>
  </si>
  <si>
    <r>
      <t>Colburn j Factor from Fig. 17 with Re</t>
    </r>
    <r>
      <rPr>
        <vertAlign val="subscript"/>
        <sz val="9"/>
        <rFont val="Calibri"/>
        <family val="2"/>
        <scheme val="minor"/>
      </rPr>
      <t xml:space="preserve">w </t>
    </r>
    <r>
      <rPr>
        <sz val="9"/>
        <rFont val="Calibri"/>
        <family val="2"/>
        <scheme val="minor"/>
      </rPr>
      <t>and L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/D</t>
    </r>
    <r>
      <rPr>
        <vertAlign val="subscript"/>
        <sz val="9"/>
        <rFont val="Calibri"/>
        <family val="2"/>
        <scheme val="minor"/>
      </rPr>
      <t>i</t>
    </r>
  </si>
  <si>
    <r>
      <t>j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*c</t>
    </r>
    <r>
      <rPr>
        <vertAlign val="subscript"/>
        <sz val="9"/>
        <rFont val="Calibri"/>
        <family val="2"/>
        <scheme val="minor"/>
      </rPr>
      <t>pw</t>
    </r>
    <r>
      <rPr>
        <sz val="9"/>
        <rFont val="Calibri"/>
        <family val="2"/>
        <scheme val="minor"/>
      </rPr>
      <t>*G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/(Pr</t>
    </r>
    <r>
      <rPr>
        <vertAlign val="subscript"/>
        <sz val="9"/>
        <rFont val="Calibri"/>
        <family val="2"/>
        <scheme val="minor"/>
      </rPr>
      <t>w</t>
    </r>
    <r>
      <rPr>
        <vertAlign val="superscript"/>
        <sz val="9"/>
        <rFont val="Calibri"/>
        <family val="2"/>
        <scheme val="minor"/>
      </rPr>
      <t>2/3</t>
    </r>
    <r>
      <rPr>
        <sz val="9"/>
        <rFont val="Calibri"/>
        <family val="2"/>
        <scheme val="minor"/>
      </rPr>
      <t>*</t>
    </r>
    <r>
      <rPr>
        <sz val="9"/>
        <rFont val="Calibri"/>
        <family val="2"/>
      </rPr>
      <t>μ</t>
    </r>
    <r>
      <rPr>
        <vertAlign val="subscript"/>
        <sz val="9"/>
        <rFont val="Calibri"/>
        <family val="2"/>
      </rPr>
      <t>tw</t>
    </r>
    <r>
      <rPr>
        <sz val="9"/>
        <rFont val="Calibri"/>
        <family val="2"/>
        <scheme val="minor"/>
      </rPr>
      <t>/</t>
    </r>
    <r>
      <rPr>
        <sz val="9"/>
        <rFont val="Calibri"/>
        <family val="2"/>
      </rPr>
      <t>μ</t>
    </r>
    <r>
      <rPr>
        <vertAlign val="subscript"/>
        <sz val="9"/>
        <rFont val="Calibri"/>
        <family val="2"/>
      </rPr>
      <t>w</t>
    </r>
    <r>
      <rPr>
        <vertAlign val="superscript"/>
        <sz val="9"/>
        <rFont val="Calibri"/>
        <family val="2"/>
        <scheme val="minor"/>
      </rPr>
      <t>0.14</t>
    </r>
    <r>
      <rPr>
        <sz val="9"/>
        <rFont val="Calibri"/>
        <family val="2"/>
        <scheme val="minor"/>
      </rPr>
      <t>)</t>
    </r>
  </si>
  <si>
    <r>
      <t>h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>ft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</rPr>
      <t>·°</t>
    </r>
    <r>
      <rPr>
        <sz val="8"/>
        <rFont val="Calibri"/>
        <family val="2"/>
        <scheme val="minor"/>
      </rPr>
      <t>F/Btu</t>
    </r>
  </si>
  <si>
    <r>
      <t>t</t>
    </r>
    <r>
      <rPr>
        <vertAlign val="subscript"/>
        <sz val="8"/>
        <rFont val="Calibri"/>
        <family val="2"/>
        <scheme val="minor"/>
      </rPr>
      <t>twm</t>
    </r>
  </si>
  <si>
    <r>
      <t>μ</t>
    </r>
    <r>
      <rPr>
        <vertAlign val="subscript"/>
        <sz val="8"/>
        <rFont val="Calibri"/>
        <family val="2"/>
      </rPr>
      <t>twm</t>
    </r>
  </si>
  <si>
    <r>
      <t>Dynamic Viscosity of Water at Tube Wall Temp., t</t>
    </r>
    <r>
      <rPr>
        <vertAlign val="subscript"/>
        <sz val="9"/>
        <rFont val="Calibri"/>
        <family val="2"/>
        <scheme val="minor"/>
      </rPr>
      <t>twm</t>
    </r>
  </si>
  <si>
    <r>
      <t>R</t>
    </r>
    <r>
      <rPr>
        <vertAlign val="subscript"/>
        <sz val="8"/>
        <rFont val="Calibri"/>
        <family val="2"/>
        <scheme val="minor"/>
      </rPr>
      <t>ffa</t>
    </r>
  </si>
  <si>
    <r>
      <t>R</t>
    </r>
    <r>
      <rPr>
        <vertAlign val="subscript"/>
        <sz val="8"/>
        <rFont val="Calibri"/>
        <family val="2"/>
        <scheme val="minor"/>
      </rPr>
      <t>aD</t>
    </r>
    <r>
      <rPr>
        <sz val="8"/>
        <rFont val="Calibri"/>
        <family val="2"/>
        <scheme val="minor"/>
      </rPr>
      <t>+ R</t>
    </r>
    <r>
      <rPr>
        <vertAlign val="subscript"/>
        <sz val="8"/>
        <rFont val="Calibri"/>
        <family val="2"/>
        <scheme val="minor"/>
      </rPr>
      <t>mD</t>
    </r>
  </si>
  <si>
    <r>
      <t>= B(1/f</t>
    </r>
    <r>
      <rPr>
        <vertAlign val="subscript"/>
        <sz val="9"/>
        <rFont val="Calibri"/>
        <family val="2"/>
        <scheme val="minor"/>
      </rPr>
      <t xml:space="preserve">w </t>
    </r>
    <r>
      <rPr>
        <sz val="9"/>
        <rFont val="Calibri"/>
        <family val="2"/>
        <scheme val="minor"/>
      </rPr>
      <t>+ R</t>
    </r>
    <r>
      <rPr>
        <vertAlign val="subscript"/>
        <sz val="9"/>
        <rFont val="Calibri"/>
        <family val="2"/>
        <scheme val="minor"/>
      </rPr>
      <t>ffa</t>
    </r>
    <r>
      <rPr>
        <sz val="9"/>
        <rFont val="Calibri"/>
        <family val="2"/>
        <scheme val="minor"/>
      </rPr>
      <t>)</t>
    </r>
  </si>
  <si>
    <r>
      <t>Air-to-</t>
    </r>
    <r>
      <rPr>
        <sz val="9"/>
        <color theme="1"/>
        <rFont val="Calibri"/>
        <family val="2"/>
        <scheme val="minor"/>
      </rPr>
      <t>Fluid-Side Heat Capacity Ratio                                                                  Note: M=0 for Steam Coils(for rating convenience)</t>
    </r>
  </si>
  <si>
    <r>
      <t>Heat Transfer Exponent (Air-to-</t>
    </r>
    <r>
      <rPr>
        <sz val="9"/>
        <color theme="1"/>
        <rFont val="Calibri"/>
        <family val="2"/>
        <scheme val="minor"/>
      </rPr>
      <t>Fluid)</t>
    </r>
  </si>
  <si>
    <t>Numerical Input                             and Formulas</t>
  </si>
  <si>
    <r>
      <t>Δt</t>
    </r>
    <r>
      <rPr>
        <vertAlign val="subscript"/>
        <sz val="8"/>
        <rFont val="Calibri"/>
        <family val="2"/>
        <scheme val="minor"/>
      </rPr>
      <t>o</t>
    </r>
  </si>
  <si>
    <r>
      <t>q</t>
    </r>
    <r>
      <rPr>
        <vertAlign val="subscript"/>
        <sz val="8"/>
        <rFont val="Calibri"/>
        <family val="2"/>
        <scheme val="minor"/>
      </rPr>
      <t>s</t>
    </r>
  </si>
  <si>
    <r>
      <t>q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 xml:space="preserve"> = 4.5*c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*Q</t>
    </r>
    <r>
      <rPr>
        <vertAlign val="subscript"/>
        <sz val="9"/>
        <rFont val="Calibri"/>
        <family val="2"/>
        <scheme val="minor"/>
      </rPr>
      <t>aSTD</t>
    </r>
    <r>
      <rPr>
        <sz val="9"/>
        <rFont val="Calibri"/>
        <family val="2"/>
        <scheme val="minor"/>
      </rPr>
      <t>*E*Δt</t>
    </r>
    <r>
      <rPr>
        <vertAlign val="subscript"/>
        <sz val="9"/>
        <rFont val="Calibri"/>
        <family val="2"/>
        <scheme val="minor"/>
      </rPr>
      <t>o</t>
    </r>
  </si>
  <si>
    <r>
      <t>Δt</t>
    </r>
    <r>
      <rPr>
        <vertAlign val="subscript"/>
        <sz val="8"/>
        <rFont val="Calibri"/>
        <family val="2"/>
        <scheme val="minor"/>
      </rPr>
      <t>adb</t>
    </r>
  </si>
  <si>
    <r>
      <t>Δt</t>
    </r>
    <r>
      <rPr>
        <vertAlign val="subscript"/>
        <sz val="9"/>
        <rFont val="Calibri"/>
        <family val="2"/>
        <scheme val="minor"/>
      </rPr>
      <t>adb</t>
    </r>
    <r>
      <rPr>
        <sz val="9"/>
        <rFont val="Calibri"/>
        <family val="2"/>
        <scheme val="minor"/>
      </rPr>
      <t xml:space="preserve"> = q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/(4.5*c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*Q</t>
    </r>
    <r>
      <rPr>
        <vertAlign val="subscript"/>
        <sz val="9"/>
        <rFont val="Calibri"/>
        <family val="2"/>
        <scheme val="minor"/>
      </rPr>
      <t>aSTD</t>
    </r>
    <r>
      <rPr>
        <sz val="9"/>
        <rFont val="Calibri"/>
        <family val="2"/>
        <scheme val="minor"/>
      </rPr>
      <t>)</t>
    </r>
  </si>
  <si>
    <r>
      <t>t</t>
    </r>
    <r>
      <rPr>
        <vertAlign val="subscript"/>
        <sz val="8"/>
        <rFont val="Calibri"/>
        <family val="2"/>
        <scheme val="minor"/>
      </rPr>
      <t>2db</t>
    </r>
  </si>
  <si>
    <r>
      <t>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 xml:space="preserve"> + Δt</t>
    </r>
    <r>
      <rPr>
        <vertAlign val="subscript"/>
        <sz val="9"/>
        <rFont val="Calibri"/>
        <family val="2"/>
        <scheme val="minor"/>
      </rPr>
      <t>adb</t>
    </r>
    <r>
      <rPr>
        <sz val="9"/>
        <rFont val="Calibri"/>
        <family val="2"/>
        <scheme val="minor"/>
      </rPr>
      <t xml:space="preserve"> For Air Heating</t>
    </r>
  </si>
  <si>
    <r>
      <t>t</t>
    </r>
    <r>
      <rPr>
        <vertAlign val="subscript"/>
        <sz val="9"/>
        <rFont val="Calibri"/>
        <family val="2"/>
        <scheme val="minor"/>
      </rPr>
      <t>2db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 xml:space="preserve"> - Δt</t>
    </r>
    <r>
      <rPr>
        <vertAlign val="subscript"/>
        <sz val="9"/>
        <rFont val="Calibri"/>
        <family val="2"/>
        <scheme val="minor"/>
      </rPr>
      <t>adb</t>
    </r>
    <r>
      <rPr>
        <sz val="9"/>
        <rFont val="Calibri"/>
        <family val="2"/>
        <scheme val="minor"/>
      </rPr>
      <t xml:space="preserve"> For Air Cooling</t>
    </r>
  </si>
  <si>
    <r>
      <t>E = Δt</t>
    </r>
    <r>
      <rPr>
        <vertAlign val="subscript"/>
        <sz val="9"/>
        <rFont val="Calibri"/>
        <family val="2"/>
        <scheme val="minor"/>
      </rPr>
      <t>adb</t>
    </r>
    <r>
      <rPr>
        <sz val="9"/>
        <rFont val="Calibri"/>
        <family val="2"/>
        <scheme val="minor"/>
      </rPr>
      <t>/Δt</t>
    </r>
    <r>
      <rPr>
        <vertAlign val="subscript"/>
        <sz val="9"/>
        <rFont val="Calibri"/>
        <family val="2"/>
        <scheme val="minor"/>
      </rPr>
      <t>o</t>
    </r>
  </si>
  <si>
    <r>
      <t>c</t>
    </r>
    <r>
      <rPr>
        <vertAlign val="subscript"/>
        <sz val="8"/>
        <rFont val="Calibri"/>
        <family val="2"/>
        <scheme val="minor"/>
      </rPr>
      <t>p</t>
    </r>
  </si>
  <si>
    <t xml:space="preserve">Specific heat of air-water vapor mixture  To simplify calculation and rating procedures, a constant value of 0.243 may be used for cooling calculations and a constant value of 0.241 may be used for heating calculations </t>
  </si>
  <si>
    <t>Initial Estimate of Water Film Thermal Resistance</t>
  </si>
  <si>
    <r>
      <t>Initial Estimate Dynamic Viscosity Ratio (VR</t>
    </r>
    <r>
      <rPr>
        <vertAlign val="subscript"/>
        <sz val="9"/>
        <rFont val="Calibri"/>
        <family val="2"/>
        <scheme val="minor"/>
      </rPr>
      <t>init</t>
    </r>
    <r>
      <rPr>
        <sz val="9"/>
        <rFont val="Calibri"/>
        <family val="2"/>
        <scheme val="minor"/>
      </rPr>
      <t>)   For Air-Cooling Water Coils use initial estimate of 0.98 and for Air-Heating Water Coils use initial estimate of 1.03</t>
    </r>
  </si>
  <si>
    <t>MTD</t>
  </si>
  <si>
    <t>Mean Temperature Difference</t>
  </si>
  <si>
    <r>
      <t xml:space="preserve">MTD = </t>
    </r>
    <r>
      <rPr>
        <sz val="9"/>
        <rFont val="Calibri"/>
        <family val="2"/>
      </rPr>
      <t>Δt</t>
    </r>
    <r>
      <rPr>
        <vertAlign val="subscript"/>
        <sz val="9"/>
        <rFont val="Calibri"/>
        <family val="2"/>
      </rPr>
      <t>adb</t>
    </r>
    <r>
      <rPr>
        <sz val="9"/>
        <rFont val="Calibri"/>
        <family val="2"/>
      </rPr>
      <t>/c</t>
    </r>
    <r>
      <rPr>
        <vertAlign val="subscript"/>
        <sz val="9"/>
        <rFont val="Calibri"/>
        <family val="2"/>
      </rPr>
      <t>o</t>
    </r>
  </si>
  <si>
    <t>STEAM PROPERTIES</t>
  </si>
  <si>
    <r>
      <t>Average Water Temperature Inside Tubes                                                            When solving for rows deep                                                      =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 xml:space="preserve"> - (0.5*Δt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 For Air-Heating Coil                                                                            =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 xml:space="preserve"> + (0.5*Δt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 For Air-Cooling Coil                                   When solving for capacity, this value must be approximated.   (Suggest t</t>
    </r>
    <r>
      <rPr>
        <vertAlign val="subscript"/>
        <sz val="9"/>
        <color theme="1"/>
        <rFont val="Calibri"/>
        <family val="2"/>
        <scheme val="minor"/>
      </rPr>
      <t>wm</t>
    </r>
    <r>
      <rPr>
        <sz val="9"/>
        <color theme="1"/>
        <rFont val="Calibri"/>
        <family val="2"/>
        <scheme val="minor"/>
      </rPr>
      <t xml:space="preserve"> be 5</t>
    </r>
    <r>
      <rPr>
        <sz val="9"/>
        <color theme="1"/>
        <rFont val="Calibri"/>
        <family val="2"/>
      </rPr>
      <t>°</t>
    </r>
    <r>
      <rPr>
        <sz val="9"/>
        <color theme="1"/>
        <rFont val="Calibri"/>
        <family val="2"/>
        <scheme val="minor"/>
      </rPr>
      <t>F to 10</t>
    </r>
    <r>
      <rPr>
        <sz val="9"/>
        <color theme="1"/>
        <rFont val="Calibri"/>
        <family val="2"/>
      </rPr>
      <t>°</t>
    </r>
    <r>
      <rPr>
        <sz val="9"/>
        <color theme="1"/>
        <rFont val="Calibri"/>
        <family val="2"/>
        <scheme val="minor"/>
      </rPr>
      <t>F from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>)</t>
    </r>
  </si>
  <si>
    <t>AIR-SIDE PRESS DROP</t>
  </si>
  <si>
    <r>
      <t>R</t>
    </r>
    <r>
      <rPr>
        <vertAlign val="subscript"/>
        <sz val="8"/>
        <rFont val="Calibri"/>
        <family val="2"/>
        <scheme val="minor"/>
      </rPr>
      <t>w</t>
    </r>
  </si>
  <si>
    <r>
      <t>f</t>
    </r>
    <r>
      <rPr>
        <vertAlign val="subscript"/>
        <sz val="8"/>
        <rFont val="Calibri"/>
        <family val="2"/>
        <scheme val="minor"/>
      </rPr>
      <t>w</t>
    </r>
  </si>
  <si>
    <t xml:space="preserve">Estimate of Mean Tube Wall Temperature </t>
  </si>
  <si>
    <t xml:space="preserve">RATING  CONDITIONS      </t>
  </si>
  <si>
    <r>
      <t>Δt</t>
    </r>
    <r>
      <rPr>
        <vertAlign val="subscript"/>
        <sz val="8"/>
        <rFont val="Calibri"/>
        <family val="2"/>
        <scheme val="minor"/>
      </rPr>
      <t>w</t>
    </r>
  </si>
  <si>
    <r>
      <t>c</t>
    </r>
    <r>
      <rPr>
        <vertAlign val="subscript"/>
        <sz val="8"/>
        <rFont val="Calibri"/>
        <family val="2"/>
        <scheme val="minor"/>
      </rPr>
      <t>o</t>
    </r>
  </si>
  <si>
    <r>
      <t>*t</t>
    </r>
    <r>
      <rPr>
        <vertAlign val="subscript"/>
        <sz val="8"/>
        <rFont val="Calibri"/>
        <family val="2"/>
        <scheme val="minor"/>
      </rPr>
      <t>wm</t>
    </r>
  </si>
  <si>
    <r>
      <t>t</t>
    </r>
    <r>
      <rPr>
        <vertAlign val="subscript"/>
        <sz val="8"/>
        <rFont val="Calibri"/>
        <family val="2"/>
        <scheme val="minor"/>
      </rPr>
      <t>w2</t>
    </r>
  </si>
  <si>
    <r>
      <t>N</t>
    </r>
    <r>
      <rPr>
        <vertAlign val="subscript"/>
        <sz val="8"/>
        <rFont val="Calibri"/>
        <family val="2"/>
        <scheme val="minor"/>
      </rPr>
      <t>rc</t>
    </r>
  </si>
  <si>
    <r>
      <t>ΔP</t>
    </r>
    <r>
      <rPr>
        <vertAlign val="subscript"/>
        <sz val="8"/>
        <rFont val="Calibri"/>
        <family val="2"/>
        <scheme val="minor"/>
      </rPr>
      <t xml:space="preserve">st </t>
    </r>
    <r>
      <rPr>
        <sz val="8"/>
        <rFont val="Calibri"/>
        <family val="2"/>
        <scheme val="minor"/>
      </rPr>
      <t>/N</t>
    </r>
    <r>
      <rPr>
        <vertAlign val="subscript"/>
        <sz val="8"/>
        <rFont val="Calibri"/>
        <family val="2"/>
        <scheme val="minor"/>
      </rPr>
      <t>r</t>
    </r>
  </si>
  <si>
    <r>
      <t>F</t>
    </r>
    <r>
      <rPr>
        <vertAlign val="subscript"/>
        <sz val="8"/>
        <rFont val="Calibri"/>
        <family val="2"/>
        <scheme val="minor"/>
      </rPr>
      <t>a</t>
    </r>
  </si>
  <si>
    <r>
      <t>(ΔP</t>
    </r>
    <r>
      <rPr>
        <vertAlign val="subscript"/>
        <sz val="8"/>
        <rFont val="Calibri"/>
        <family val="2"/>
        <scheme val="minor"/>
      </rPr>
      <t>st</t>
    </r>
    <r>
      <rPr>
        <sz val="8"/>
        <rFont val="Calibri"/>
        <family val="2"/>
        <scheme val="minor"/>
      </rPr>
      <t>)</t>
    </r>
    <r>
      <rPr>
        <vertAlign val="subscript"/>
        <sz val="8"/>
        <rFont val="Calibri"/>
        <family val="2"/>
        <scheme val="minor"/>
      </rPr>
      <t>JOB</t>
    </r>
  </si>
  <si>
    <r>
      <t>w</t>
    </r>
    <r>
      <rPr>
        <vertAlign val="subscript"/>
        <sz val="8"/>
        <rFont val="Calibri"/>
        <family val="2"/>
        <scheme val="minor"/>
      </rPr>
      <t>v</t>
    </r>
  </si>
  <si>
    <r>
      <t>w</t>
    </r>
    <r>
      <rPr>
        <vertAlign val="subscript"/>
        <sz val="8"/>
        <rFont val="Calibri"/>
        <family val="2"/>
        <scheme val="minor"/>
      </rPr>
      <t>v</t>
    </r>
    <r>
      <rPr>
        <sz val="8"/>
        <rFont val="Calibri"/>
        <family val="2"/>
        <scheme val="minor"/>
      </rPr>
      <t>/N</t>
    </r>
    <r>
      <rPr>
        <vertAlign val="subscript"/>
        <sz val="8"/>
        <rFont val="Calibri"/>
        <family val="2"/>
        <scheme val="minor"/>
      </rPr>
      <t>c</t>
    </r>
  </si>
  <si>
    <r>
      <t>h</t>
    </r>
    <r>
      <rPr>
        <vertAlign val="subscript"/>
        <sz val="9"/>
        <rFont val="Calibri"/>
        <family val="2"/>
        <scheme val="minor"/>
      </rPr>
      <t>Lhca</t>
    </r>
    <r>
      <rPr>
        <sz val="9"/>
        <rFont val="Calibri"/>
        <family val="2"/>
        <scheme val="minor"/>
      </rPr>
      <t>/F</t>
    </r>
    <r>
      <rPr>
        <vertAlign val="subscript"/>
        <sz val="9"/>
        <rFont val="Calibri"/>
        <family val="2"/>
        <scheme val="minor"/>
      </rPr>
      <t xml:space="preserve">h  </t>
    </r>
  </si>
  <si>
    <r>
      <t>ΔP</t>
    </r>
    <r>
      <rPr>
        <vertAlign val="subscript"/>
        <sz val="8"/>
        <rFont val="Calibri"/>
        <family val="2"/>
        <scheme val="minor"/>
      </rPr>
      <t>hca</t>
    </r>
    <r>
      <rPr>
        <sz val="8"/>
        <rFont val="Calibri"/>
        <family val="2"/>
        <scheme val="minor"/>
      </rPr>
      <t>/v</t>
    </r>
    <r>
      <rPr>
        <vertAlign val="subscript"/>
        <sz val="8"/>
        <rFont val="Calibri"/>
        <family val="2"/>
        <scheme val="minor"/>
      </rPr>
      <t>vmg</t>
    </r>
  </si>
  <si>
    <r>
      <t>(ΔP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)</t>
    </r>
    <r>
      <rPr>
        <vertAlign val="subscript"/>
        <sz val="8"/>
        <rFont val="Calibri"/>
        <family val="2"/>
        <scheme val="minor"/>
      </rPr>
      <t>JOB</t>
    </r>
  </si>
  <si>
    <r>
      <t>ΔP</t>
    </r>
    <r>
      <rPr>
        <vertAlign val="subscript"/>
        <sz val="8"/>
        <rFont val="Calibri"/>
        <family val="2"/>
        <scheme val="minor"/>
      </rPr>
      <t>v</t>
    </r>
  </si>
  <si>
    <t xml:space="preserve">Coil Depth in Rows  </t>
  </si>
  <si>
    <r>
      <t>ft</t>
    </r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>/ft</t>
    </r>
    <r>
      <rPr>
        <vertAlign val="superscript"/>
        <sz val="8"/>
        <rFont val="Calibri"/>
        <family val="2"/>
        <scheme val="minor"/>
      </rPr>
      <t>2</t>
    </r>
    <r>
      <rPr>
        <vertAlign val="subscript"/>
        <sz val="8"/>
        <rFont val="Calibri"/>
        <family val="2"/>
        <scheme val="minor"/>
      </rPr>
      <t>F.A</t>
    </r>
    <r>
      <rPr>
        <sz val="8"/>
        <rFont val="Calibri"/>
        <family val="2"/>
      </rPr>
      <t>·</t>
    </r>
    <r>
      <rPr>
        <sz val="8"/>
        <rFont val="Calibri"/>
        <family val="2"/>
        <scheme val="minor"/>
      </rPr>
      <t xml:space="preserve">row </t>
    </r>
  </si>
  <si>
    <r>
      <t>Δt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= q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/w</t>
    </r>
    <r>
      <rPr>
        <vertAlign val="subscript"/>
        <sz val="9"/>
        <rFont val="Calibri"/>
        <family val="2"/>
        <scheme val="minor"/>
      </rPr>
      <t>w</t>
    </r>
  </si>
  <si>
    <r>
      <t>c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 xml:space="preserve"> = A</t>
    </r>
    <r>
      <rPr>
        <vertAlign val="subscript"/>
        <sz val="9"/>
        <rFont val="Calibri"/>
        <family val="2"/>
        <scheme val="minor"/>
      </rPr>
      <t>o</t>
    </r>
    <r>
      <rPr>
        <sz val="9"/>
        <rFont val="Calibri"/>
        <family val="2"/>
        <scheme val="minor"/>
      </rPr>
      <t>/(4.5*c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*Q</t>
    </r>
    <r>
      <rPr>
        <vertAlign val="subscript"/>
        <sz val="9"/>
        <rFont val="Calibri"/>
        <family val="2"/>
        <scheme val="minor"/>
      </rPr>
      <t>aSTD</t>
    </r>
    <r>
      <rPr>
        <sz val="9"/>
        <rFont val="Calibri"/>
        <family val="2"/>
        <scheme val="minor"/>
      </rPr>
      <t>*R)</t>
    </r>
  </si>
  <si>
    <r>
      <t>M = (4.5*c</t>
    </r>
    <r>
      <rPr>
        <vertAlign val="subscript"/>
        <sz val="9"/>
        <rFont val="Calibri"/>
        <family val="2"/>
        <scheme val="minor"/>
      </rPr>
      <t>p</t>
    </r>
    <r>
      <rPr>
        <sz val="9"/>
        <rFont val="Calibri"/>
        <family val="2"/>
        <scheme val="minor"/>
      </rPr>
      <t>*Q</t>
    </r>
    <r>
      <rPr>
        <vertAlign val="subscript"/>
        <sz val="9"/>
        <rFont val="Calibri"/>
        <family val="2"/>
        <scheme val="minor"/>
      </rPr>
      <t>aSTD</t>
    </r>
    <r>
      <rPr>
        <sz val="9"/>
        <rFont val="Calibri"/>
        <family val="2"/>
        <scheme val="minor"/>
      </rPr>
      <t>)/w</t>
    </r>
    <r>
      <rPr>
        <vertAlign val="subscript"/>
        <sz val="9"/>
        <rFont val="Calibri"/>
        <family val="2"/>
        <scheme val="minor"/>
      </rPr>
      <t xml:space="preserve">w </t>
    </r>
    <r>
      <rPr>
        <sz val="9"/>
        <rFont val="Calibri"/>
        <family val="2"/>
        <scheme val="minor"/>
      </rPr>
      <t>for Water</t>
    </r>
  </si>
  <si>
    <r>
      <t>For Steam  c</t>
    </r>
    <r>
      <rPr>
        <vertAlign val="subscript"/>
        <sz val="9"/>
        <rFont val="Calibri"/>
        <family val="2"/>
        <scheme val="minor"/>
      </rPr>
      <t xml:space="preserve">o </t>
    </r>
    <r>
      <rPr>
        <sz val="9"/>
        <rFont val="Calibri"/>
        <family val="2"/>
        <scheme val="minor"/>
      </rPr>
      <t>= -ln (1 - e)</t>
    </r>
  </si>
  <si>
    <r>
      <t>w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 xml:space="preserve"> = (q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)/(h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>-h</t>
    </r>
    <r>
      <rPr>
        <vertAlign val="subscript"/>
        <sz val="9"/>
        <rFont val="Calibri"/>
        <family val="2"/>
        <scheme val="minor"/>
      </rPr>
      <t>f2</t>
    </r>
    <r>
      <rPr>
        <sz val="9"/>
        <rFont val="Calibri"/>
        <family val="2"/>
        <scheme val="minor"/>
      </rPr>
      <t>)</t>
    </r>
  </si>
  <si>
    <r>
      <t>Eq. = w</t>
    </r>
    <r>
      <rPr>
        <vertAlign val="subscript"/>
        <sz val="9"/>
        <rFont val="Calibri"/>
        <family val="2"/>
        <scheme val="minor"/>
      </rPr>
      <t>v</t>
    </r>
    <r>
      <rPr>
        <sz val="9"/>
        <rFont val="Calibri"/>
        <family val="2"/>
        <scheme val="minor"/>
      </rPr>
      <t>/N</t>
    </r>
    <r>
      <rPr>
        <vertAlign val="subscript"/>
        <sz val="9"/>
        <rFont val="Calibri"/>
        <family val="2"/>
        <scheme val="minor"/>
      </rPr>
      <t>c</t>
    </r>
  </si>
  <si>
    <r>
      <t>For hdr/conn/assy</t>
    </r>
    <r>
      <rPr>
        <vertAlign val="subscript"/>
        <sz val="9"/>
        <rFont val="Calibri"/>
        <family val="2"/>
        <scheme val="minor"/>
      </rPr>
      <t xml:space="preserve">      </t>
    </r>
    <r>
      <rPr>
        <sz val="9"/>
        <rFont val="Calibri"/>
        <family val="2"/>
        <scheme val="minor"/>
      </rPr>
      <t>h</t>
    </r>
    <r>
      <rPr>
        <vertAlign val="subscript"/>
        <sz val="9"/>
        <rFont val="Calibri"/>
        <family val="2"/>
        <scheme val="minor"/>
      </rPr>
      <t>Lhca</t>
    </r>
    <r>
      <rPr>
        <sz val="9"/>
        <rFont val="Calibri"/>
        <family val="2"/>
        <scheme val="minor"/>
      </rPr>
      <t>/F</t>
    </r>
    <r>
      <rPr>
        <vertAlign val="subscript"/>
        <sz val="9"/>
        <rFont val="Calibri"/>
        <family val="2"/>
        <scheme val="minor"/>
      </rPr>
      <t xml:space="preserve">h  </t>
    </r>
  </si>
  <si>
    <r>
      <t>ΔP</t>
    </r>
    <r>
      <rPr>
        <vertAlign val="subscript"/>
        <sz val="9"/>
        <rFont val="Calibri"/>
        <family val="2"/>
        <scheme val="minor"/>
      </rPr>
      <t>hca</t>
    </r>
    <r>
      <rPr>
        <sz val="9"/>
        <rFont val="Calibri"/>
        <family val="2"/>
        <scheme val="minor"/>
      </rPr>
      <t>/v</t>
    </r>
    <r>
      <rPr>
        <vertAlign val="subscript"/>
        <sz val="9"/>
        <rFont val="Calibri"/>
        <family val="2"/>
        <scheme val="minor"/>
      </rPr>
      <t>vmg</t>
    </r>
  </si>
  <si>
    <t>M = 0 (for rating convenience)</t>
  </si>
  <si>
    <r>
      <t xml:space="preserve"> (For constant w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 xml:space="preserve">) </t>
    </r>
    <r>
      <rPr>
        <vertAlign val="subscript"/>
        <sz val="9"/>
        <rFont val="Calibri"/>
        <family val="2"/>
        <scheme val="minor"/>
      </rPr>
      <t xml:space="preserve">  </t>
    </r>
    <r>
      <rPr>
        <sz val="9"/>
        <rFont val="Calibri"/>
        <family val="2"/>
        <scheme val="minor"/>
      </rPr>
      <t xml:space="preserve">                             (</t>
    </r>
    <r>
      <rPr>
        <sz val="9"/>
        <rFont val="Calibri"/>
        <family val="2"/>
      </rPr>
      <t>∆P</t>
    </r>
    <r>
      <rPr>
        <vertAlign val="subscript"/>
        <sz val="9"/>
        <rFont val="Calibri"/>
        <family val="2"/>
      </rPr>
      <t>st</t>
    </r>
    <r>
      <rPr>
        <sz val="9"/>
        <rFont val="Calibri"/>
        <family val="2"/>
      </rPr>
      <t>)</t>
    </r>
    <r>
      <rPr>
        <vertAlign val="subscript"/>
        <sz val="9"/>
        <rFont val="Calibri"/>
        <family val="2"/>
      </rPr>
      <t xml:space="preserve"> JOB </t>
    </r>
    <r>
      <rPr>
        <sz val="9"/>
        <rFont val="Calibri"/>
        <family val="2"/>
        <scheme val="minor"/>
      </rPr>
      <t>= Nr*(ΔP</t>
    </r>
    <r>
      <rPr>
        <vertAlign val="subscript"/>
        <sz val="9"/>
        <rFont val="Calibri"/>
        <family val="2"/>
        <scheme val="minor"/>
      </rPr>
      <t>st</t>
    </r>
    <r>
      <rPr>
        <sz val="9"/>
        <rFont val="Calibri"/>
        <family val="2"/>
        <scheme val="minor"/>
      </rPr>
      <t xml:space="preserve"> /N</t>
    </r>
    <r>
      <rPr>
        <vertAlign val="subscript"/>
        <sz val="9"/>
        <rFont val="Calibri"/>
        <family val="2"/>
        <scheme val="minor"/>
      </rPr>
      <t>r</t>
    </r>
    <r>
      <rPr>
        <sz val="9"/>
        <rFont val="Calibri"/>
        <family val="2"/>
        <scheme val="minor"/>
      </rPr>
      <t>)*F</t>
    </r>
    <r>
      <rPr>
        <vertAlign val="subscript"/>
        <sz val="9"/>
        <rFont val="Calibri"/>
        <family val="2"/>
        <scheme val="minor"/>
      </rPr>
      <t>a</t>
    </r>
  </si>
  <si>
    <t xml:space="preserve">Air-Side Pressure Drop at Job Conditions                                  </t>
  </si>
  <si>
    <t>Straight Tube Length per Pass/Tube Diameter</t>
  </si>
  <si>
    <r>
      <t xml:space="preserve">Average Water Temperature Inside Tubes                                                            = tw1 - (0.5*Δtw) For Air-Heating Coil                                                                            = tw1 + (0.5*Δtw) For Air-Cooling Coil                                   * If within +/- 3 </t>
    </r>
    <r>
      <rPr>
        <sz val="9"/>
        <color theme="1"/>
        <rFont val="Calibri"/>
        <family val="2"/>
      </rPr>
      <t>°</t>
    </r>
    <r>
      <rPr>
        <sz val="9"/>
        <color theme="1"/>
        <rFont val="Calibri"/>
        <family val="2"/>
        <scheme val="minor"/>
      </rPr>
      <t>F of Item 34, proceed to next step.    If not, assume a new value for Item 34 and repeat calculations through Item 54</t>
    </r>
  </si>
  <si>
    <r>
      <t>V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 xml:space="preserve"> = Q</t>
    </r>
    <r>
      <rPr>
        <vertAlign val="subscript"/>
        <sz val="9"/>
        <rFont val="Calibri"/>
        <family val="2"/>
        <scheme val="minor"/>
      </rPr>
      <t>aSTD</t>
    </r>
    <r>
      <rPr>
        <sz val="9"/>
        <rFont val="Calibri"/>
        <family val="2"/>
        <scheme val="minor"/>
      </rPr>
      <t>/A</t>
    </r>
    <r>
      <rPr>
        <vertAlign val="subscript"/>
        <sz val="9"/>
        <rFont val="Calibri"/>
        <family val="2"/>
        <scheme val="minor"/>
      </rPr>
      <t>f</t>
    </r>
  </si>
  <si>
    <t>Initial Air-to-Fluid Temperature Difference</t>
  </si>
  <si>
    <r>
      <t>= t</t>
    </r>
    <r>
      <rPr>
        <vertAlign val="subscript"/>
        <sz val="9"/>
        <rFont val="Calibri"/>
        <family val="2"/>
        <scheme val="minor"/>
      </rPr>
      <t>v1g</t>
    </r>
    <r>
      <rPr>
        <sz val="9"/>
        <rFont val="Calibri"/>
        <family val="2"/>
        <scheme val="minor"/>
      </rPr>
      <t xml:space="preserve"> - t</t>
    </r>
    <r>
      <rPr>
        <vertAlign val="subscript"/>
        <sz val="9"/>
        <rFont val="Calibri"/>
        <family val="2"/>
        <scheme val="minor"/>
      </rPr>
      <t>1db</t>
    </r>
  </si>
  <si>
    <r>
      <t>= t</t>
    </r>
    <r>
      <rPr>
        <vertAlign val="subscript"/>
        <sz val="9"/>
        <rFont val="Calibri"/>
        <family val="2"/>
        <scheme val="minor"/>
      </rPr>
      <t>w1</t>
    </r>
    <r>
      <rPr>
        <sz val="9"/>
        <rFont val="Calibri"/>
        <family val="2"/>
        <scheme val="minor"/>
      </rPr>
      <t xml:space="preserve"> - t</t>
    </r>
    <r>
      <rPr>
        <vertAlign val="subscript"/>
        <sz val="9"/>
        <rFont val="Calibri"/>
        <family val="2"/>
        <scheme val="minor"/>
      </rPr>
      <t>1db</t>
    </r>
  </si>
  <si>
    <r>
      <t>= t</t>
    </r>
    <r>
      <rPr>
        <vertAlign val="subscript"/>
        <sz val="9"/>
        <rFont val="Calibri"/>
        <family val="2"/>
        <scheme val="minor"/>
      </rPr>
      <t>1db</t>
    </r>
    <r>
      <rPr>
        <sz val="9"/>
        <rFont val="Calibri"/>
        <family val="2"/>
        <scheme val="minor"/>
      </rPr>
      <t xml:space="preserve"> - t</t>
    </r>
    <r>
      <rPr>
        <vertAlign val="subscript"/>
        <sz val="9"/>
        <rFont val="Calibri"/>
        <family val="2"/>
        <scheme val="minor"/>
      </rPr>
      <t>w1</t>
    </r>
  </si>
  <si>
    <t>Single Tube Steam</t>
  </si>
  <si>
    <t xml:space="preserve">Water Coils </t>
  </si>
  <si>
    <t>Choose</t>
  </si>
  <si>
    <t>Choose Calc Method</t>
  </si>
  <si>
    <r>
      <t>=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 xml:space="preserve"> - </t>
    </r>
    <r>
      <rPr>
        <sz val="9"/>
        <color theme="1"/>
        <rFont val="Calibri"/>
        <family val="2"/>
      </rPr>
      <t>Δ</t>
    </r>
    <r>
      <rPr>
        <sz val="9"/>
        <color theme="1"/>
        <rFont val="Calibri"/>
        <family val="2"/>
        <scheme val="minor"/>
      </rPr>
      <t>t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 xml:space="preserve"> For Air Heating Coil</t>
    </r>
  </si>
  <si>
    <t xml:space="preserve">Leaving Water Temperature at Coil </t>
  </si>
  <si>
    <r>
      <t>w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= 62.361*3600*(A</t>
    </r>
    <r>
      <rPr>
        <vertAlign val="subscript"/>
        <sz val="9"/>
        <rFont val="Calibri"/>
        <family val="2"/>
        <scheme val="minor"/>
      </rPr>
      <t>ix</t>
    </r>
    <r>
      <rPr>
        <sz val="9"/>
        <rFont val="Calibri"/>
        <family val="2"/>
        <scheme val="minor"/>
      </rPr>
      <t>*V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)</t>
    </r>
  </si>
  <si>
    <t>Obtain Header, Nozzle and Entrance and Exit Losses for Water and Steam                            (to be determined by manufacturer)</t>
  </si>
  <si>
    <r>
      <t>(μ</t>
    </r>
    <r>
      <rPr>
        <vertAlign val="subscript"/>
        <sz val="8"/>
        <rFont val="Calibri"/>
        <family val="2"/>
        <scheme val="minor"/>
      </rPr>
      <t>tw</t>
    </r>
    <r>
      <rPr>
        <sz val="8"/>
        <rFont val="Calibri"/>
        <family val="2"/>
        <scheme val="minor"/>
      </rPr>
      <t>/</t>
    </r>
    <r>
      <rPr>
        <sz val="8"/>
        <rFont val="Calibri"/>
        <family val="2"/>
      </rPr>
      <t>μ</t>
    </r>
    <r>
      <rPr>
        <vertAlign val="subscript"/>
        <sz val="8"/>
        <rFont val="Calibri"/>
        <family val="2"/>
      </rPr>
      <t>w</t>
    </r>
    <r>
      <rPr>
        <sz val="8"/>
        <rFont val="Calibri"/>
        <family val="2"/>
      </rPr>
      <t>)</t>
    </r>
    <r>
      <rPr>
        <vertAlign val="superscript"/>
        <sz val="8"/>
        <rFont val="Calibri"/>
        <family val="2"/>
      </rPr>
      <t>.14</t>
    </r>
    <r>
      <rPr>
        <sz val="8"/>
        <rFont val="Calibri"/>
        <family val="2"/>
      </rPr>
      <t xml:space="preserve"> init</t>
    </r>
  </si>
  <si>
    <r>
      <t>(μ</t>
    </r>
    <r>
      <rPr>
        <vertAlign val="subscript"/>
        <sz val="8"/>
        <rFont val="Calibri"/>
        <family val="2"/>
        <scheme val="minor"/>
      </rPr>
      <t>tw</t>
    </r>
    <r>
      <rPr>
        <sz val="8"/>
        <rFont val="Calibri"/>
        <family val="2"/>
        <scheme val="minor"/>
      </rPr>
      <t>/</t>
    </r>
    <r>
      <rPr>
        <sz val="8"/>
        <rFont val="Calibri"/>
        <family val="2"/>
      </rPr>
      <t>μ</t>
    </r>
    <r>
      <rPr>
        <vertAlign val="subscript"/>
        <sz val="8"/>
        <rFont val="Calibri"/>
        <family val="2"/>
      </rPr>
      <t>w</t>
    </r>
    <r>
      <rPr>
        <sz val="8"/>
        <rFont val="Calibri"/>
        <family val="2"/>
      </rPr>
      <t>)</t>
    </r>
    <r>
      <rPr>
        <vertAlign val="superscript"/>
        <sz val="8"/>
        <rFont val="Calibri"/>
        <family val="2"/>
      </rPr>
      <t xml:space="preserve">.14 </t>
    </r>
    <r>
      <rPr>
        <sz val="8"/>
        <rFont val="Calibri"/>
        <family val="2"/>
      </rPr>
      <t>calc</t>
    </r>
  </si>
  <si>
    <r>
      <t>k</t>
    </r>
    <r>
      <rPr>
        <vertAlign val="subscript"/>
        <sz val="8"/>
        <rFont val="Calibri"/>
        <family val="2"/>
        <scheme val="minor"/>
      </rPr>
      <t>w</t>
    </r>
  </si>
  <si>
    <r>
      <t>F</t>
    </r>
    <r>
      <rPr>
        <vertAlign val="subscript"/>
        <sz val="8"/>
        <rFont val="Calibri"/>
        <family val="2"/>
        <scheme val="minor"/>
      </rPr>
      <t>a</t>
    </r>
    <r>
      <rPr>
        <sz val="8"/>
        <rFont val="Calibri"/>
        <family val="2"/>
        <scheme val="minor"/>
      </rPr>
      <t>=(460+((t</t>
    </r>
    <r>
      <rPr>
        <vertAlign val="subscript"/>
        <sz val="8"/>
        <rFont val="Calibri"/>
        <family val="2"/>
        <scheme val="minor"/>
      </rPr>
      <t>1db</t>
    </r>
    <r>
      <rPr>
        <sz val="8"/>
        <rFont val="Calibri"/>
        <family val="2"/>
        <scheme val="minor"/>
      </rPr>
      <t xml:space="preserve"> +t</t>
    </r>
    <r>
      <rPr>
        <vertAlign val="subscript"/>
        <sz val="8"/>
        <rFont val="Calibri"/>
        <family val="2"/>
        <scheme val="minor"/>
      </rPr>
      <t>2db</t>
    </r>
    <r>
      <rPr>
        <sz val="8"/>
        <rFont val="Calibri"/>
        <family val="2"/>
        <scheme val="minor"/>
      </rPr>
      <t>)/2))/(P</t>
    </r>
    <r>
      <rPr>
        <vertAlign val="subscript"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*530/29.921)</t>
    </r>
  </si>
  <si>
    <r>
      <t>A</t>
    </r>
    <r>
      <rPr>
        <vertAlign val="subscript"/>
        <sz val="9"/>
        <rFont val="Calibri"/>
        <family val="2"/>
        <scheme val="minor"/>
      </rPr>
      <t>ix</t>
    </r>
  </si>
  <si>
    <r>
      <t>L</t>
    </r>
    <r>
      <rPr>
        <vertAlign val="subscript"/>
        <sz val="9"/>
        <rFont val="Calibri"/>
        <family val="2"/>
        <scheme val="minor"/>
      </rPr>
      <t>s</t>
    </r>
    <r>
      <rPr>
        <sz val="9"/>
        <rFont val="Calibri"/>
        <family val="2"/>
        <scheme val="minor"/>
      </rPr>
      <t>/D</t>
    </r>
    <r>
      <rPr>
        <vertAlign val="subscript"/>
        <sz val="9"/>
        <rFont val="Calibri"/>
        <family val="2"/>
        <scheme val="minor"/>
      </rPr>
      <t>i</t>
    </r>
  </si>
  <si>
    <r>
      <t>L</t>
    </r>
    <r>
      <rPr>
        <vertAlign val="sub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>=(1/12)*[L</t>
    </r>
    <r>
      <rPr>
        <vertAlign val="subscript"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*(N</t>
    </r>
    <r>
      <rPr>
        <vertAlign val="subscript"/>
        <sz val="8"/>
        <rFont val="Calibri"/>
        <family val="2"/>
        <scheme val="minor"/>
      </rPr>
      <t>t</t>
    </r>
    <r>
      <rPr>
        <sz val="8"/>
        <rFont val="Calibri"/>
        <family val="2"/>
        <scheme val="minor"/>
      </rPr>
      <t>/N</t>
    </r>
    <r>
      <rPr>
        <vertAlign val="subscript"/>
        <sz val="8"/>
        <rFont val="Calibri"/>
        <family val="2"/>
        <scheme val="minor"/>
      </rPr>
      <t>c</t>
    </r>
    <r>
      <rPr>
        <sz val="8"/>
        <rFont val="Calibri"/>
        <family val="2"/>
        <scheme val="minor"/>
      </rPr>
      <t>)+  K</t>
    </r>
    <r>
      <rPr>
        <vertAlign val="subscript"/>
        <sz val="8"/>
        <rFont val="Calibri"/>
        <family val="2"/>
        <scheme val="minor"/>
      </rPr>
      <t>b</t>
    </r>
    <r>
      <rPr>
        <sz val="8"/>
        <rFont val="Calibri"/>
        <family val="2"/>
        <scheme val="minor"/>
      </rPr>
      <t>*(N</t>
    </r>
    <r>
      <rPr>
        <vertAlign val="subscript"/>
        <sz val="8"/>
        <rFont val="Calibri"/>
        <family val="2"/>
        <scheme val="minor"/>
      </rPr>
      <t>t</t>
    </r>
    <r>
      <rPr>
        <sz val="8"/>
        <rFont val="Calibri"/>
        <family val="2"/>
        <scheme val="minor"/>
      </rPr>
      <t>/N</t>
    </r>
    <r>
      <rPr>
        <vertAlign val="subscript"/>
        <sz val="8"/>
        <rFont val="Calibri"/>
        <family val="2"/>
        <scheme val="minor"/>
      </rPr>
      <t>c</t>
    </r>
    <r>
      <rPr>
        <sz val="8"/>
        <rFont val="Calibri"/>
        <family val="2"/>
        <scheme val="minor"/>
      </rPr>
      <t>-1)]</t>
    </r>
  </si>
  <si>
    <r>
      <t>N</t>
    </r>
    <r>
      <rPr>
        <vertAlign val="subscript"/>
        <sz val="8"/>
        <rFont val="Calibri"/>
        <family val="2"/>
        <scheme val="minor"/>
      </rPr>
      <t>rc</t>
    </r>
    <r>
      <rPr>
        <sz val="8"/>
        <rFont val="Calibri"/>
        <family val="2"/>
        <scheme val="minor"/>
      </rPr>
      <t xml:space="preserve"> = (q</t>
    </r>
    <r>
      <rPr>
        <vertAlign val="subscript"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*R*c</t>
    </r>
    <r>
      <rPr>
        <vertAlign val="subscript"/>
        <sz val="8"/>
        <rFont val="Calibri"/>
        <family val="2"/>
        <scheme val="minor"/>
      </rPr>
      <t>o</t>
    </r>
    <r>
      <rPr>
        <sz val="8"/>
        <rFont val="Calibri"/>
        <family val="2"/>
        <scheme val="minor"/>
      </rPr>
      <t>) /((A</t>
    </r>
    <r>
      <rPr>
        <vertAlign val="subscript"/>
        <sz val="8"/>
        <rFont val="Calibri"/>
        <family val="2"/>
        <scheme val="minor"/>
      </rPr>
      <t>o</t>
    </r>
    <r>
      <rPr>
        <sz val="8"/>
        <rFont val="Calibri"/>
        <family val="2"/>
        <scheme val="minor"/>
      </rPr>
      <t>/A</t>
    </r>
    <r>
      <rPr>
        <vertAlign val="subscript"/>
        <sz val="8"/>
        <rFont val="Calibri"/>
        <family val="2"/>
        <scheme val="minor"/>
      </rPr>
      <t>f</t>
    </r>
    <r>
      <rPr>
        <sz val="8"/>
        <rFont val="Calibri"/>
        <family val="2"/>
        <scheme val="minor"/>
      </rPr>
      <t>*N</t>
    </r>
    <r>
      <rPr>
        <vertAlign val="subscript"/>
        <sz val="8"/>
        <rFont val="Calibri"/>
        <family val="2"/>
        <scheme val="minor"/>
      </rPr>
      <t>r</t>
    </r>
    <r>
      <rPr>
        <sz val="8"/>
        <rFont val="Calibri"/>
        <family val="2"/>
        <scheme val="minor"/>
      </rPr>
      <t>)*A</t>
    </r>
    <r>
      <rPr>
        <vertAlign val="subscript"/>
        <sz val="8"/>
        <rFont val="Calibri"/>
        <family val="2"/>
        <scheme val="minor"/>
      </rPr>
      <t>f</t>
    </r>
    <r>
      <rPr>
        <sz val="8"/>
        <rFont val="Calibri"/>
        <family val="2"/>
        <scheme val="minor"/>
      </rPr>
      <t>*Δt</t>
    </r>
    <r>
      <rPr>
        <vertAlign val="subscript"/>
        <sz val="8"/>
        <rFont val="Calibri"/>
        <family val="2"/>
        <scheme val="minor"/>
      </rPr>
      <t>adb</t>
    </r>
    <r>
      <rPr>
        <sz val="8"/>
        <rFont val="Calibri"/>
        <family val="2"/>
        <scheme val="minor"/>
      </rPr>
      <t>)</t>
    </r>
  </si>
  <si>
    <t>Coil Sensible Heat                                                                   (Known when solving for rows deep)</t>
  </si>
  <si>
    <r>
      <t>Enthalpy of Steam Condensed Leaving Coil                                                                             From P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 xml:space="preserve"> and Steam Tables assuming h</t>
    </r>
    <r>
      <rPr>
        <vertAlign val="subscript"/>
        <sz val="9"/>
        <rFont val="Calibri"/>
        <family val="2"/>
        <scheme val="minor"/>
      </rPr>
      <t>f1</t>
    </r>
    <r>
      <rPr>
        <sz val="9"/>
        <rFont val="Calibri"/>
        <family val="2"/>
        <scheme val="minor"/>
      </rPr>
      <t xml:space="preserve"> = h</t>
    </r>
    <r>
      <rPr>
        <vertAlign val="subscript"/>
        <sz val="9"/>
        <rFont val="Calibri"/>
        <family val="2"/>
        <scheme val="minor"/>
      </rPr>
      <t>f2</t>
    </r>
    <r>
      <rPr>
        <sz val="9"/>
        <rFont val="Calibri"/>
        <family val="2"/>
        <scheme val="minor"/>
      </rPr>
      <t xml:space="preserve"> for rating convenience</t>
    </r>
  </si>
  <si>
    <r>
      <t>ΔP</t>
    </r>
    <r>
      <rPr>
        <vertAlign val="subscript"/>
        <sz val="8"/>
        <rFont val="Calibri"/>
        <family val="2"/>
        <scheme val="minor"/>
      </rPr>
      <t>v</t>
    </r>
    <r>
      <rPr>
        <sz val="8"/>
        <rFont val="Calibri"/>
        <family val="2"/>
        <scheme val="minor"/>
      </rPr>
      <t>=((</t>
    </r>
    <r>
      <rPr>
        <sz val="8"/>
        <rFont val="Calibri"/>
        <family val="2"/>
      </rPr>
      <t>ΔP</t>
    </r>
    <r>
      <rPr>
        <vertAlign val="subscript"/>
        <sz val="8"/>
        <rFont val="Calibri"/>
        <family val="2"/>
      </rPr>
      <t>tv</t>
    </r>
    <r>
      <rPr>
        <sz val="8"/>
        <rFont val="Calibri"/>
        <family val="2"/>
      </rPr>
      <t>/L</t>
    </r>
    <r>
      <rPr>
        <vertAlign val="subscript"/>
        <sz val="8"/>
        <rFont val="Calibri"/>
        <family val="2"/>
      </rPr>
      <t>e</t>
    </r>
    <r>
      <rPr>
        <sz val="8"/>
        <rFont val="Calibri"/>
        <family val="2"/>
      </rPr>
      <t>v</t>
    </r>
    <r>
      <rPr>
        <vertAlign val="subscript"/>
        <sz val="8"/>
        <rFont val="Calibri"/>
        <family val="2"/>
      </rPr>
      <t>vm</t>
    </r>
    <r>
      <rPr>
        <sz val="8"/>
        <rFont val="Calibri"/>
        <family val="2"/>
        <scheme val="minor"/>
      </rPr>
      <t>*L</t>
    </r>
    <r>
      <rPr>
        <vertAlign val="sub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>)+(</t>
    </r>
    <r>
      <rPr>
        <sz val="8"/>
        <rFont val="Calibri"/>
        <family val="2"/>
      </rPr>
      <t>ΔP</t>
    </r>
    <r>
      <rPr>
        <vertAlign val="subscript"/>
        <sz val="8"/>
        <rFont val="Calibri"/>
        <family val="2"/>
      </rPr>
      <t>hca</t>
    </r>
    <r>
      <rPr>
        <sz val="8"/>
        <rFont val="Calibri"/>
        <family val="2"/>
      </rPr>
      <t>/v</t>
    </r>
    <r>
      <rPr>
        <vertAlign val="subscript"/>
        <sz val="8"/>
        <rFont val="Calibri"/>
        <family val="2"/>
      </rPr>
      <t>vmg</t>
    </r>
    <r>
      <rPr>
        <sz val="8"/>
        <rFont val="Calibri"/>
        <family val="2"/>
      </rPr>
      <t>))</t>
    </r>
    <r>
      <rPr>
        <sz val="8"/>
        <rFont val="Calibri"/>
        <family val="2"/>
        <scheme val="minor"/>
      </rPr>
      <t>*v</t>
    </r>
    <r>
      <rPr>
        <vertAlign val="subscript"/>
        <sz val="8"/>
        <rFont val="Calibri"/>
        <family val="2"/>
        <scheme val="minor"/>
      </rPr>
      <t>v1</t>
    </r>
  </si>
  <si>
    <r>
      <t>v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 xml:space="preserve">  Steam Specific Volume Entering Coil   (From t</t>
    </r>
    <r>
      <rPr>
        <vertAlign val="subscript"/>
        <sz val="9"/>
        <rFont val="Calibri"/>
        <family val="2"/>
        <scheme val="minor"/>
      </rPr>
      <t>v1g</t>
    </r>
    <r>
      <rPr>
        <sz val="9"/>
        <rFont val="Calibri"/>
        <family val="2"/>
        <scheme val="minor"/>
      </rPr>
      <t>, P</t>
    </r>
    <r>
      <rPr>
        <vertAlign val="subscript"/>
        <sz val="9"/>
        <rFont val="Calibri"/>
        <family val="2"/>
        <scheme val="minor"/>
      </rPr>
      <t>v1</t>
    </r>
    <r>
      <rPr>
        <sz val="9"/>
        <rFont val="Calibri"/>
        <family val="2"/>
        <scheme val="minor"/>
      </rPr>
      <t xml:space="preserve"> and Steam Property Tables)  = v</t>
    </r>
    <r>
      <rPr>
        <vertAlign val="subscript"/>
        <sz val="9"/>
        <rFont val="Calibri"/>
        <family val="2"/>
        <scheme val="minor"/>
      </rPr>
      <t>v2</t>
    </r>
    <r>
      <rPr>
        <sz val="9"/>
        <rFont val="Calibri"/>
        <family val="2"/>
        <scheme val="minor"/>
      </rPr>
      <t xml:space="preserve"> = v</t>
    </r>
    <r>
      <rPr>
        <vertAlign val="subscript"/>
        <sz val="9"/>
        <rFont val="Calibri"/>
        <family val="2"/>
        <scheme val="minor"/>
      </rPr>
      <t>vmg</t>
    </r>
    <r>
      <rPr>
        <sz val="9"/>
        <rFont val="Calibri"/>
        <family val="2"/>
        <scheme val="minor"/>
      </rPr>
      <t xml:space="preserve"> for rating convenience     </t>
    </r>
  </si>
  <si>
    <r>
      <t xml:space="preserve">Overall Thermal Resistance between Air and Tube Side Fluid    </t>
    </r>
    <r>
      <rPr>
        <sz val="9"/>
        <rFont val="Calibri"/>
        <family val="2"/>
        <scheme val="minor"/>
      </rPr>
      <t xml:space="preserve">                                                                                                                                    </t>
    </r>
  </si>
  <si>
    <r>
      <t>R = R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 xml:space="preserve"> + (R</t>
    </r>
    <r>
      <rPr>
        <vertAlign val="subscript"/>
        <sz val="9"/>
        <rFont val="Calibri"/>
        <family val="2"/>
        <scheme val="minor"/>
      </rPr>
      <t>aD</t>
    </r>
    <r>
      <rPr>
        <sz val="9"/>
        <rFont val="Calibri"/>
        <family val="2"/>
        <scheme val="minor"/>
      </rPr>
      <t>+R</t>
    </r>
    <r>
      <rPr>
        <vertAlign val="subscript"/>
        <sz val="9"/>
        <rFont val="Calibri"/>
        <family val="2"/>
        <scheme val="minor"/>
      </rPr>
      <t>mD</t>
    </r>
    <r>
      <rPr>
        <sz val="9"/>
        <rFont val="Calibri"/>
        <family val="2"/>
        <scheme val="minor"/>
      </rPr>
      <t>) for Hot Water and Cold Water Coils</t>
    </r>
  </si>
  <si>
    <r>
      <t>= t</t>
    </r>
    <r>
      <rPr>
        <vertAlign val="subscript"/>
        <sz val="9"/>
        <color theme="1"/>
        <rFont val="Calibri"/>
        <family val="2"/>
        <scheme val="minor"/>
      </rPr>
      <t>w1</t>
    </r>
    <r>
      <rPr>
        <sz val="9"/>
        <color theme="1"/>
        <rFont val="Calibri"/>
        <family val="2"/>
        <scheme val="minor"/>
      </rPr>
      <t xml:space="preserve"> + Δt</t>
    </r>
    <r>
      <rPr>
        <vertAlign val="subscript"/>
        <sz val="9"/>
        <color theme="1"/>
        <rFont val="Calibri"/>
        <family val="2"/>
        <scheme val="minor"/>
      </rPr>
      <t xml:space="preserve">w </t>
    </r>
    <r>
      <rPr>
        <sz val="9"/>
        <color theme="1"/>
        <rFont val="Calibri"/>
        <family val="2"/>
        <scheme val="minor"/>
      </rPr>
      <t>For Air Cooling Coil</t>
    </r>
  </si>
  <si>
    <r>
      <t>Calculated Dynamic Viscosity Ratio (VR</t>
    </r>
    <r>
      <rPr>
        <vertAlign val="subscript"/>
        <sz val="9"/>
        <rFont val="Calibri"/>
        <family val="2"/>
        <scheme val="minor"/>
      </rPr>
      <t>calc</t>
    </r>
    <r>
      <rPr>
        <sz val="9"/>
        <rFont val="Calibri"/>
        <family val="2"/>
        <scheme val="minor"/>
      </rPr>
      <t>)  If VR</t>
    </r>
    <r>
      <rPr>
        <vertAlign val="subscript"/>
        <sz val="9"/>
        <rFont val="Calibri"/>
        <family val="2"/>
        <scheme val="minor"/>
      </rPr>
      <t>init</t>
    </r>
    <r>
      <rPr>
        <sz val="9"/>
        <rFont val="Calibri"/>
        <family val="2"/>
        <scheme val="minor"/>
      </rPr>
      <t xml:space="preserve"> is </t>
    </r>
    <r>
      <rPr>
        <b/>
        <u/>
        <sz val="9"/>
        <rFont val="Calibri"/>
        <family val="2"/>
        <scheme val="minor"/>
      </rPr>
      <t>not</t>
    </r>
    <r>
      <rPr>
        <sz val="9"/>
        <rFont val="Calibri"/>
        <family val="2"/>
        <scheme val="minor"/>
      </rPr>
      <t xml:space="preserve"> within 2 % of VR</t>
    </r>
    <r>
      <rPr>
        <vertAlign val="subscript"/>
        <sz val="9"/>
        <rFont val="Calibri"/>
        <family val="2"/>
        <scheme val="minor"/>
      </rPr>
      <t xml:space="preserve">calc </t>
    </r>
    <r>
      <rPr>
        <sz val="9"/>
        <rFont val="Calibri"/>
        <family val="2"/>
        <scheme val="minor"/>
      </rPr>
      <t>, use VR</t>
    </r>
    <r>
      <rPr>
        <vertAlign val="subscript"/>
        <sz val="9"/>
        <rFont val="Calibri"/>
        <family val="2"/>
        <scheme val="minor"/>
      </rPr>
      <t>calc</t>
    </r>
    <r>
      <rPr>
        <sz val="9"/>
        <rFont val="Calibri"/>
        <family val="2"/>
        <scheme val="minor"/>
      </rPr>
      <t xml:space="preserve"> as new VR</t>
    </r>
    <r>
      <rPr>
        <vertAlign val="subscript"/>
        <sz val="9"/>
        <rFont val="Calibri"/>
        <family val="2"/>
        <scheme val="minor"/>
      </rPr>
      <t>init</t>
    </r>
    <r>
      <rPr>
        <sz val="9"/>
        <rFont val="Calibri"/>
        <family val="2"/>
        <scheme val="minor"/>
      </rPr>
      <t xml:space="preserve"> and recalculate starting with Item 44. Otherwise, proceed to next step</t>
    </r>
  </si>
  <si>
    <t>Hot Water</t>
  </si>
  <si>
    <t>Cold Water</t>
  </si>
  <si>
    <r>
      <t>t</t>
    </r>
    <r>
      <rPr>
        <vertAlign val="subscript"/>
        <sz val="9"/>
        <rFont val="Calibri"/>
        <family val="2"/>
        <scheme val="minor"/>
      </rPr>
      <t>twm</t>
    </r>
    <r>
      <rPr>
        <sz val="9"/>
        <rFont val="Calibri"/>
        <family val="2"/>
        <scheme val="minor"/>
      </rPr>
      <t xml:space="preserve"> = t</t>
    </r>
    <r>
      <rPr>
        <vertAlign val="subscript"/>
        <sz val="9"/>
        <rFont val="Calibri"/>
        <family val="2"/>
        <scheme val="minor"/>
      </rPr>
      <t>wm</t>
    </r>
    <r>
      <rPr>
        <sz val="9"/>
        <rFont val="Calibri"/>
        <family val="2"/>
        <scheme val="minor"/>
      </rPr>
      <t xml:space="preserve"> +/- (R</t>
    </r>
    <r>
      <rPr>
        <vertAlign val="subscript"/>
        <sz val="9"/>
        <rFont val="Calibri"/>
        <family val="2"/>
        <scheme val="minor"/>
      </rPr>
      <t>w</t>
    </r>
    <r>
      <rPr>
        <sz val="9"/>
        <rFont val="Calibri"/>
        <family val="2"/>
        <scheme val="minor"/>
      </rPr>
      <t>/R)*MTD</t>
    </r>
  </si>
  <si>
    <t>Air-Side From Section 6.5</t>
  </si>
  <si>
    <t>Heat Transfer Exponent (Air-to-Fluid)                                                                                     From Section 6.5</t>
  </si>
  <si>
    <r>
      <t>Combined Air Film plus Metal Thermal Resistance                                               (From Fig. 16 with V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>)</t>
    </r>
  </si>
  <si>
    <r>
      <t>From Fig. 15 knowing V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 xml:space="preserve"> for Single Tube Steam Coils</t>
    </r>
  </si>
  <si>
    <r>
      <t>Air-Side Pressure Drop Per Row Deep at Standard Conditions                     (From Fig. 15 or 16 with V</t>
    </r>
    <r>
      <rPr>
        <vertAlign val="subscript"/>
        <sz val="9"/>
        <rFont val="Calibri"/>
        <family val="2"/>
        <scheme val="minor"/>
      </rPr>
      <t>a</t>
    </r>
    <r>
      <rPr>
        <sz val="9"/>
        <rFont val="Calibri"/>
        <family val="2"/>
        <scheme val="minor"/>
      </rPr>
      <t>)</t>
    </r>
  </si>
  <si>
    <r>
      <t>for Water Coils at Mean Water Temp with V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Arial"/>
        <family val="2"/>
      </rPr>
      <t>&gt;</t>
    </r>
  </si>
  <si>
    <r>
      <t>ΔP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>/L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F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- Tube Circuit Water Pressure Drop Parameter at Mean Water Temp                                                                                      (From Fig. 16 with V</t>
    </r>
    <r>
      <rPr>
        <vertAlign val="subscript"/>
        <sz val="9"/>
        <color theme="1"/>
        <rFont val="Calibri"/>
        <family val="2"/>
        <scheme val="minor"/>
      </rPr>
      <t>w</t>
    </r>
    <r>
      <rPr>
        <sz val="9"/>
        <color theme="1"/>
        <rFont val="Calibri"/>
        <family val="2"/>
        <scheme val="minor"/>
      </rPr>
      <t>) (F</t>
    </r>
    <r>
      <rPr>
        <vertAlign val="subscript"/>
        <sz val="9"/>
        <color theme="1"/>
        <rFont val="Calibri"/>
        <family val="2"/>
        <scheme val="minor"/>
      </rPr>
      <t>t</t>
    </r>
    <r>
      <rPr>
        <sz val="9"/>
        <color theme="1"/>
        <rFont val="Calibri"/>
        <family val="2"/>
        <scheme val="minor"/>
      </rPr>
      <t xml:space="preserve"> = 1)</t>
    </r>
  </si>
  <si>
    <r>
      <t>ΔP</t>
    </r>
    <r>
      <rPr>
        <vertAlign val="subscript"/>
        <sz val="9"/>
        <color theme="1"/>
        <rFont val="Calibri"/>
        <family val="2"/>
        <scheme val="minor"/>
      </rPr>
      <t>tv</t>
    </r>
    <r>
      <rPr>
        <sz val="9"/>
        <color theme="1"/>
        <rFont val="Calibri"/>
        <family val="2"/>
        <scheme val="minor"/>
      </rPr>
      <t>/L</t>
    </r>
    <r>
      <rPr>
        <vertAlign val="subscript"/>
        <sz val="9"/>
        <color theme="1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v</t>
    </r>
    <r>
      <rPr>
        <vertAlign val="subscript"/>
        <sz val="9"/>
        <color theme="1"/>
        <rFont val="Calibri"/>
        <family val="2"/>
        <scheme val="minor"/>
      </rPr>
      <t>vm</t>
    </r>
    <r>
      <rPr>
        <sz val="9"/>
        <color theme="1"/>
        <rFont val="Calibri"/>
        <family val="2"/>
        <scheme val="minor"/>
      </rPr>
      <t xml:space="preserve"> - Steam Pressure Drop Parameter                                                   (From Fig. 15 with w</t>
    </r>
    <r>
      <rPr>
        <vertAlign val="subscript"/>
        <sz val="9"/>
        <color theme="1"/>
        <rFont val="Calibri"/>
        <family val="2"/>
        <scheme val="minor"/>
      </rPr>
      <t>v</t>
    </r>
    <r>
      <rPr>
        <sz val="9"/>
        <color theme="1"/>
        <rFont val="Calibri"/>
        <family val="2"/>
        <scheme val="minor"/>
      </rPr>
      <t>/N</t>
    </r>
    <r>
      <rPr>
        <vertAlign val="subscript"/>
        <sz val="9"/>
        <color theme="1"/>
        <rFont val="Calibri"/>
        <family val="2"/>
        <scheme val="minor"/>
      </rPr>
      <t>c</t>
    </r>
    <r>
      <rPr>
        <sz val="9"/>
        <color theme="1"/>
        <rFont val="Calibri"/>
        <family val="2"/>
        <scheme val="minor"/>
      </rPr>
      <t>)</t>
    </r>
  </si>
  <si>
    <r>
      <t>(ΔP</t>
    </r>
    <r>
      <rPr>
        <vertAlign val="subscript"/>
        <sz val="8"/>
        <rFont val="Calibri"/>
        <family val="2"/>
        <scheme val="minor"/>
      </rPr>
      <t>w</t>
    </r>
    <r>
      <rPr>
        <sz val="8"/>
        <rFont val="Calibri"/>
        <family val="2"/>
        <scheme val="minor"/>
      </rPr>
      <t>)</t>
    </r>
    <r>
      <rPr>
        <vertAlign val="subscript"/>
        <sz val="8"/>
        <rFont val="Calibri"/>
        <family val="2"/>
        <scheme val="minor"/>
      </rPr>
      <t xml:space="preserve">JOB </t>
    </r>
    <r>
      <rPr>
        <sz val="8"/>
        <rFont val="Calibri"/>
        <family val="2"/>
        <scheme val="minor"/>
      </rPr>
      <t>= h</t>
    </r>
    <r>
      <rPr>
        <vertAlign val="subscript"/>
        <sz val="8"/>
        <rFont val="Calibri"/>
        <family val="2"/>
        <scheme val="minor"/>
      </rPr>
      <t>Lhca</t>
    </r>
    <r>
      <rPr>
        <sz val="8"/>
        <rFont val="Calibri"/>
        <family val="2"/>
        <scheme val="minor"/>
      </rPr>
      <t xml:space="preserve">  +    L</t>
    </r>
    <r>
      <rPr>
        <vertAlign val="subscript"/>
        <sz val="8"/>
        <rFont val="Calibri"/>
        <family val="2"/>
        <scheme val="minor"/>
      </rPr>
      <t>e</t>
    </r>
    <r>
      <rPr>
        <sz val="8"/>
        <rFont val="Calibri"/>
        <family val="2"/>
        <scheme val="minor"/>
      </rPr>
      <t>*(</t>
    </r>
    <r>
      <rPr>
        <sz val="8"/>
        <rFont val="Calibri"/>
        <family val="2"/>
      </rPr>
      <t>ΔP</t>
    </r>
    <r>
      <rPr>
        <vertAlign val="subscript"/>
        <sz val="8"/>
        <rFont val="Calibri"/>
        <family val="2"/>
      </rPr>
      <t>t</t>
    </r>
    <r>
      <rPr>
        <sz val="8"/>
        <rFont val="Calibri"/>
        <family val="2"/>
      </rPr>
      <t>/L</t>
    </r>
    <r>
      <rPr>
        <vertAlign val="subscript"/>
        <sz val="8"/>
        <rFont val="Calibri"/>
        <family val="2"/>
      </rPr>
      <t>e</t>
    </r>
    <r>
      <rPr>
        <sz val="8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</si>
</sst>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"/>
    <numFmt numFmtId="167" formatCode="0.00000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vertAlign val="sub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vertAlign val="superscript"/>
      <sz val="8"/>
      <name val="Calibri"/>
      <family val="2"/>
      <scheme val="minor"/>
    </font>
    <font>
      <sz val="8"/>
      <name val="Calibri"/>
      <family val="2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sz val="9"/>
      <name val="Calibri"/>
      <family val="2"/>
    </font>
    <font>
      <sz val="9.9"/>
      <name val="Calibri"/>
      <family val="2"/>
    </font>
    <font>
      <vertAlign val="superscript"/>
      <sz val="9"/>
      <name val="Calibri"/>
      <family val="2"/>
      <scheme val="minor"/>
    </font>
    <font>
      <sz val="8"/>
      <name val="Arial"/>
      <family val="2"/>
    </font>
    <font>
      <vertAlign val="subscript"/>
      <sz val="8"/>
      <name val="Calibri"/>
      <family val="2"/>
    </font>
    <font>
      <vertAlign val="subscript"/>
      <sz val="9"/>
      <name val="Calibri"/>
      <family val="2"/>
    </font>
    <font>
      <vertAlign val="superscript"/>
      <sz val="8"/>
      <name val="Calibri"/>
      <family val="2"/>
    </font>
    <font>
      <b/>
      <u/>
      <sz val="9"/>
      <name val="Calibri"/>
      <family val="2"/>
      <scheme val="minor"/>
    </font>
    <font>
      <strike/>
      <sz val="9"/>
      <name val="Calibri"/>
      <family val="2"/>
      <scheme val="minor"/>
    </font>
    <font>
      <sz val="9"/>
      <color theme="1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3" fillId="0" borderId="13" xfId="0" applyFont="1" applyBorder="1" applyAlignment="1">
      <alignment horizontal="center" vertical="center" wrapText="1"/>
    </xf>
    <xf numFmtId="0" fontId="0" fillId="0" borderId="8" xfId="0" applyBorder="1"/>
    <xf numFmtId="0" fontId="0" fillId="0" borderId="15" xfId="0" applyBorder="1"/>
    <xf numFmtId="0" fontId="2" fillId="0" borderId="0" xfId="0" applyFont="1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4" fillId="0" borderId="11" xfId="0" applyFont="1" applyBorder="1" applyAlignment="1">
      <alignment vertical="center" textRotation="90"/>
    </xf>
    <xf numFmtId="0" fontId="9" fillId="0" borderId="7" xfId="0" applyFont="1" applyBorder="1"/>
    <xf numFmtId="0" fontId="12" fillId="0" borderId="7" xfId="0" applyFont="1" applyBorder="1" applyAlignment="1">
      <alignment textRotation="90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 wrapText="1"/>
    </xf>
    <xf numFmtId="0" fontId="18" fillId="0" borderId="15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1" xfId="0" quotePrefix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0" fillId="0" borderId="5" xfId="0" applyBorder="1"/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18" fillId="0" borderId="11" xfId="0" applyFont="1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4" fillId="0" borderId="12" xfId="0" applyFont="1" applyBorder="1" applyAlignment="1">
      <alignment horizontal="center" vertical="center" textRotation="90"/>
    </xf>
    <xf numFmtId="0" fontId="18" fillId="0" borderId="3" xfId="0" applyFont="1" applyBorder="1" applyAlignment="1">
      <alignment vertical="center"/>
    </xf>
    <xf numFmtId="0" fontId="18" fillId="0" borderId="7" xfId="0" applyFont="1" applyBorder="1"/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 wrapText="1"/>
    </xf>
    <xf numFmtId="0" fontId="18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4" fillId="3" borderId="12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1" fontId="30" fillId="0" borderId="0" xfId="0" applyNumberFormat="1" applyFont="1" applyAlignment="1">
      <alignment horizont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0" xfId="0" applyFont="1"/>
    <xf numFmtId="1" fontId="9" fillId="3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textRotation="90"/>
    </xf>
    <xf numFmtId="0" fontId="12" fillId="3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9" fillId="0" borderId="5" xfId="0" applyFont="1" applyBorder="1"/>
    <xf numFmtId="0" fontId="18" fillId="0" borderId="5" xfId="0" applyFont="1" applyBorder="1" applyAlignment="1">
      <alignment horizontal="center"/>
    </xf>
    <xf numFmtId="0" fontId="18" fillId="3" borderId="7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0" borderId="12" xfId="0" applyFont="1" applyBorder="1" applyAlignment="1">
      <alignment vertical="center" wrapText="1"/>
    </xf>
    <xf numFmtId="0" fontId="18" fillId="0" borderId="0" xfId="0" applyFont="1"/>
    <xf numFmtId="0" fontId="3" fillId="2" borderId="7" xfId="0" applyFont="1" applyFill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8" fillId="0" borderId="7" xfId="0" quotePrefix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0" borderId="0" xfId="0" quotePrefix="1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1" fontId="3" fillId="2" borderId="13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2" fontId="3" fillId="0" borderId="13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8" fillId="3" borderId="7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2" borderId="13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165" fontId="12" fillId="3" borderId="13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6" fontId="12" fillId="2" borderId="13" xfId="0" applyNumberFormat="1" applyFont="1" applyFill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2" fontId="12" fillId="2" borderId="7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167" fontId="12" fillId="2" borderId="13" xfId="0" applyNumberFormat="1" applyFont="1" applyFill="1" applyBorder="1" applyAlignment="1">
      <alignment horizontal="center" vertical="center"/>
    </xf>
    <xf numFmtId="167" fontId="3" fillId="2" borderId="7" xfId="0" applyNumberFormat="1" applyFont="1" applyFill="1" applyBorder="1" applyAlignment="1">
      <alignment horizontal="center" vertical="center"/>
    </xf>
    <xf numFmtId="167" fontId="12" fillId="2" borderId="7" xfId="0" applyNumberFormat="1" applyFont="1" applyFill="1" applyBorder="1" applyAlignment="1">
      <alignment horizontal="center" vertical="center"/>
    </xf>
    <xf numFmtId="167" fontId="12" fillId="3" borderId="7" xfId="0" applyNumberFormat="1" applyFont="1" applyFill="1" applyBorder="1" applyAlignment="1">
      <alignment horizontal="center" vertical="center"/>
    </xf>
    <xf numFmtId="167" fontId="12" fillId="3" borderId="13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66" fontId="3" fillId="0" borderId="13" xfId="0" applyNumberFormat="1" applyFont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166" fontId="3" fillId="3" borderId="13" xfId="0" applyNumberFormat="1" applyFont="1" applyFill="1" applyBorder="1" applyAlignment="1">
      <alignment horizontal="center" vertical="center"/>
    </xf>
    <xf numFmtId="165" fontId="3" fillId="3" borderId="13" xfId="0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6" fontId="12" fillId="3" borderId="7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8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/>
    </xf>
    <xf numFmtId="167" fontId="3" fillId="3" borderId="7" xfId="0" applyNumberFormat="1" applyFont="1" applyFill="1" applyBorder="1" applyAlignment="1">
      <alignment vertical="center"/>
    </xf>
    <xf numFmtId="0" fontId="18" fillId="4" borderId="7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2" fontId="12" fillId="3" borderId="8" xfId="0" applyNumberFormat="1" applyFont="1" applyFill="1" applyBorder="1" applyAlignment="1">
      <alignment horizontal="center" vertic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9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" fillId="0" borderId="15" xfId="0" quotePrefix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12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3" borderId="11" xfId="0" applyFont="1" applyFill="1" applyBorder="1" applyAlignment="1">
      <alignment horizontal="center" vertical="center" textRotation="90" wrapText="1"/>
    </xf>
    <xf numFmtId="0" fontId="14" fillId="3" borderId="12" xfId="0" applyFont="1" applyFill="1" applyBorder="1" applyAlignment="1">
      <alignment horizontal="center" vertical="center" textRotation="90" wrapText="1"/>
    </xf>
    <xf numFmtId="0" fontId="14" fillId="3" borderId="13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/>
    </xf>
    <xf numFmtId="0" fontId="14" fillId="0" borderId="12" xfId="0" applyFont="1" applyBorder="1" applyAlignment="1">
      <alignment horizontal="center" vertical="center" textRotation="90"/>
    </xf>
    <xf numFmtId="0" fontId="14" fillId="0" borderId="13" xfId="0" applyFont="1" applyBorder="1" applyAlignment="1">
      <alignment horizontal="center" vertical="center" textRotation="90"/>
    </xf>
    <xf numFmtId="0" fontId="2" fillId="3" borderId="8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3" borderId="8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vertical="center"/>
    </xf>
    <xf numFmtId="0" fontId="9" fillId="4" borderId="15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7" xfId="0" applyFont="1" applyBorder="1"/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vertical="center" textRotation="90" wrapText="1"/>
    </xf>
    <xf numFmtId="0" fontId="2" fillId="0" borderId="0" xfId="0" applyFont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textRotation="90" wrapText="1"/>
    </xf>
    <xf numFmtId="0" fontId="14" fillId="0" borderId="7" xfId="0" applyFont="1" applyBorder="1" applyAlignment="1">
      <alignment horizontal="center"/>
    </xf>
    <xf numFmtId="0" fontId="18" fillId="3" borderId="4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/>
    </xf>
    <xf numFmtId="0" fontId="9" fillId="0" borderId="11" xfId="0" applyFont="1" applyBorder="1" applyAlignment="1">
      <alignment horizontal="center" textRotation="90" wrapText="1"/>
    </xf>
    <xf numFmtId="0" fontId="9" fillId="0" borderId="12" xfId="0" applyFont="1" applyBorder="1" applyAlignment="1">
      <alignment horizontal="center" textRotation="90" wrapText="1"/>
    </xf>
    <xf numFmtId="0" fontId="9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5"/>
  <sheetViews>
    <sheetView tabSelected="1" topLeftCell="A96" zoomScale="115" zoomScaleNormal="115" workbookViewId="0">
      <selection activeCell="M108" sqref="M108"/>
    </sheetView>
  </sheetViews>
  <sheetFormatPr defaultRowHeight="15" x14ac:dyDescent="0.25"/>
  <cols>
    <col min="1" max="1" width="5" customWidth="1"/>
    <col min="2" max="4" width="5" style="98" customWidth="1"/>
    <col min="5" max="5" width="4.140625" style="102" customWidth="1"/>
    <col min="6" max="6" width="4.7109375" style="98" customWidth="1"/>
    <col min="7" max="7" width="7" style="100" customWidth="1"/>
    <col min="8" max="8" width="9.42578125" style="4" customWidth="1"/>
    <col min="9" max="9" width="15.42578125" style="4" customWidth="1"/>
    <col min="10" max="10" width="12.42578125" style="4" customWidth="1"/>
    <col min="11" max="11" width="4.7109375" style="4" customWidth="1"/>
    <col min="12" max="12" width="26.7109375" style="113" customWidth="1"/>
    <col min="13" max="13" width="8.5703125" style="7" customWidth="1"/>
    <col min="14" max="14" width="6.7109375" style="74" customWidth="1"/>
    <col min="15" max="15" width="6.7109375" style="11" customWidth="1"/>
    <col min="16" max="16" width="6.7109375" style="119" customWidth="1"/>
    <col min="17" max="17" width="6.7109375" style="74" customWidth="1"/>
  </cols>
  <sheetData>
    <row r="1" spans="1:17" ht="15" customHeight="1" x14ac:dyDescent="0.25">
      <c r="A1" s="274" t="s">
        <v>70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6"/>
    </row>
    <row r="2" spans="1:17" x14ac:dyDescent="0.25">
      <c r="A2" s="277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9"/>
      <c r="O2" s="278"/>
      <c r="P2" s="278"/>
      <c r="Q2" s="280"/>
    </row>
    <row r="3" spans="1:17" ht="6" customHeight="1" x14ac:dyDescent="0.25">
      <c r="A3" s="66"/>
      <c r="B3" s="93"/>
      <c r="C3" s="93"/>
      <c r="D3" s="93"/>
      <c r="J3" s="13"/>
      <c r="K3" s="13"/>
      <c r="L3" s="107"/>
      <c r="N3" s="70"/>
      <c r="Q3" s="126"/>
    </row>
    <row r="4" spans="1:17" x14ac:dyDescent="0.25">
      <c r="A4" s="281" t="s">
        <v>0</v>
      </c>
      <c r="B4" s="282"/>
      <c r="C4" s="282"/>
      <c r="D4" s="282"/>
      <c r="E4" s="282"/>
      <c r="F4" s="282"/>
      <c r="G4" s="282"/>
      <c r="H4" s="282"/>
      <c r="I4" s="282"/>
      <c r="J4" s="13"/>
      <c r="K4" s="63" t="s">
        <v>1</v>
      </c>
      <c r="L4" s="108"/>
      <c r="M4" s="63"/>
      <c r="N4" s="71"/>
      <c r="Q4" s="126"/>
    </row>
    <row r="5" spans="1:17" ht="6" customHeight="1" x14ac:dyDescent="0.25">
      <c r="A5" s="66"/>
      <c r="B5" s="93"/>
      <c r="C5" s="93"/>
      <c r="D5" s="93"/>
      <c r="J5" s="13"/>
      <c r="K5" s="64"/>
      <c r="L5" s="109"/>
      <c r="M5" s="65"/>
      <c r="N5" s="72"/>
      <c r="Q5" s="126"/>
    </row>
    <row r="6" spans="1:17" ht="15" customHeight="1" x14ac:dyDescent="0.25">
      <c r="A6" s="336" t="s">
        <v>20</v>
      </c>
      <c r="B6" s="336"/>
      <c r="C6" s="337"/>
      <c r="D6" s="337"/>
      <c r="E6" s="283" t="s">
        <v>2</v>
      </c>
      <c r="F6" s="283"/>
      <c r="G6" s="283"/>
      <c r="H6" s="284"/>
      <c r="I6" s="284"/>
      <c r="J6" s="2" t="s">
        <v>3</v>
      </c>
      <c r="K6" s="3"/>
      <c r="L6" s="298" t="s">
        <v>212</v>
      </c>
      <c r="M6" s="299"/>
      <c r="N6" s="69"/>
      <c r="Q6" s="126"/>
    </row>
    <row r="7" spans="1:17" x14ac:dyDescent="0.25">
      <c r="A7" s="337"/>
      <c r="B7" s="337"/>
      <c r="C7" s="337"/>
      <c r="D7" s="337"/>
      <c r="E7" s="284" t="s">
        <v>4</v>
      </c>
      <c r="F7" s="284"/>
      <c r="G7" s="284"/>
      <c r="H7" s="284"/>
      <c r="I7" s="284"/>
      <c r="J7" s="284"/>
      <c r="K7" s="284"/>
      <c r="L7" s="284"/>
      <c r="M7" s="286"/>
      <c r="N7" s="69"/>
      <c r="Q7" s="126"/>
    </row>
    <row r="8" spans="1:17" x14ac:dyDescent="0.25">
      <c r="A8" s="337"/>
      <c r="B8" s="337"/>
      <c r="C8" s="337"/>
      <c r="D8" s="337"/>
      <c r="E8" s="285" t="s">
        <v>5</v>
      </c>
      <c r="F8" s="285"/>
      <c r="G8" s="285"/>
      <c r="H8" s="285"/>
      <c r="I8" s="285"/>
      <c r="J8" s="285"/>
      <c r="K8" s="284"/>
      <c r="L8" s="284"/>
      <c r="M8" s="286"/>
      <c r="N8" s="192" t="s">
        <v>213</v>
      </c>
      <c r="O8" s="193"/>
      <c r="P8" s="194"/>
      <c r="Q8" s="127"/>
    </row>
    <row r="9" spans="1:17" s="11" customFormat="1" ht="15" customHeight="1" x14ac:dyDescent="0.25">
      <c r="A9" s="287" t="s">
        <v>83</v>
      </c>
      <c r="B9" s="288"/>
      <c r="C9" s="344" t="s">
        <v>84</v>
      </c>
      <c r="D9" s="344"/>
      <c r="E9" s="331" t="s">
        <v>21</v>
      </c>
      <c r="F9" s="349" t="s">
        <v>7</v>
      </c>
      <c r="G9" s="352" t="s">
        <v>8</v>
      </c>
      <c r="H9" s="353" t="s">
        <v>9</v>
      </c>
      <c r="I9" s="313"/>
      <c r="J9" s="313"/>
      <c r="K9" s="354"/>
      <c r="L9" s="346" t="s">
        <v>10</v>
      </c>
      <c r="M9" s="321" t="s">
        <v>62</v>
      </c>
      <c r="N9" s="312" t="s">
        <v>152</v>
      </c>
      <c r="O9" s="313"/>
      <c r="P9" s="313"/>
      <c r="Q9" s="314"/>
    </row>
    <row r="10" spans="1:17" s="11" customFormat="1" ht="20.25" customHeight="1" x14ac:dyDescent="0.25">
      <c r="A10" s="289"/>
      <c r="B10" s="290"/>
      <c r="C10" s="344"/>
      <c r="D10" s="344"/>
      <c r="E10" s="331"/>
      <c r="F10" s="350"/>
      <c r="G10" s="352"/>
      <c r="H10" s="312"/>
      <c r="I10" s="315"/>
      <c r="J10" s="315"/>
      <c r="K10" s="355"/>
      <c r="L10" s="347"/>
      <c r="M10" s="322"/>
      <c r="N10" s="312"/>
      <c r="O10" s="315"/>
      <c r="P10" s="315"/>
      <c r="Q10" s="316"/>
    </row>
    <row r="11" spans="1:17" ht="24" customHeight="1" x14ac:dyDescent="0.25">
      <c r="A11" s="344" t="s">
        <v>6</v>
      </c>
      <c r="B11" s="216" t="s">
        <v>19</v>
      </c>
      <c r="C11" s="216" t="s">
        <v>6</v>
      </c>
      <c r="D11" s="216" t="s">
        <v>19</v>
      </c>
      <c r="E11" s="331"/>
      <c r="F11" s="350"/>
      <c r="G11" s="352"/>
      <c r="H11" s="312"/>
      <c r="I11" s="315"/>
      <c r="J11" s="315"/>
      <c r="K11" s="355"/>
      <c r="L11" s="347"/>
      <c r="M11" s="322"/>
      <c r="N11" s="312"/>
      <c r="O11" s="315"/>
      <c r="P11" s="315"/>
      <c r="Q11" s="316"/>
    </row>
    <row r="12" spans="1:17" ht="24" customHeight="1" x14ac:dyDescent="0.25">
      <c r="A12" s="345"/>
      <c r="B12" s="217"/>
      <c r="C12" s="217"/>
      <c r="D12" s="217"/>
      <c r="E12" s="332"/>
      <c r="F12" s="351"/>
      <c r="G12" s="217"/>
      <c r="H12" s="356"/>
      <c r="I12" s="357"/>
      <c r="J12" s="357"/>
      <c r="K12" s="358"/>
      <c r="L12" s="348"/>
      <c r="M12" s="323"/>
      <c r="N12" s="317"/>
      <c r="O12" s="318"/>
      <c r="P12" s="318"/>
      <c r="Q12" s="319"/>
    </row>
    <row r="13" spans="1:17" ht="21" customHeight="1" x14ac:dyDescent="0.25">
      <c r="A13" s="24"/>
      <c r="B13" s="25"/>
      <c r="C13" s="25"/>
      <c r="D13" s="26"/>
      <c r="E13" s="27"/>
      <c r="F13" s="28"/>
      <c r="G13" s="12"/>
      <c r="H13" s="320"/>
      <c r="I13" s="320"/>
      <c r="J13" s="320"/>
      <c r="K13" s="320"/>
      <c r="L13" s="81"/>
      <c r="M13" s="29"/>
      <c r="N13" s="73"/>
      <c r="O13" s="114"/>
      <c r="P13" s="114"/>
      <c r="Q13" s="114"/>
    </row>
    <row r="14" spans="1:17" s="6" customFormat="1" ht="21" customHeight="1" x14ac:dyDescent="0.25">
      <c r="A14" s="30">
        <v>1</v>
      </c>
      <c r="B14" s="30">
        <v>1</v>
      </c>
      <c r="C14" s="30">
        <v>1</v>
      </c>
      <c r="D14" s="30">
        <v>1</v>
      </c>
      <c r="E14" s="254" t="s">
        <v>63</v>
      </c>
      <c r="F14" s="30">
        <v>1</v>
      </c>
      <c r="G14" s="14" t="s">
        <v>22</v>
      </c>
      <c r="H14" s="204" t="s">
        <v>59</v>
      </c>
      <c r="I14" s="204"/>
      <c r="J14" s="204"/>
      <c r="K14" s="204"/>
      <c r="L14" s="78"/>
      <c r="M14" s="14" t="s">
        <v>76</v>
      </c>
      <c r="N14" s="150"/>
      <c r="O14" s="140"/>
      <c r="P14" s="140"/>
      <c r="Q14" s="140"/>
    </row>
    <row r="15" spans="1:17" s="6" customFormat="1" ht="21" customHeight="1" x14ac:dyDescent="0.25">
      <c r="A15" s="30">
        <v>2</v>
      </c>
      <c r="B15" s="30">
        <v>2</v>
      </c>
      <c r="C15" s="30">
        <v>2</v>
      </c>
      <c r="D15" s="30">
        <v>2</v>
      </c>
      <c r="E15" s="254"/>
      <c r="F15" s="30">
        <v>2</v>
      </c>
      <c r="G15" s="14" t="s">
        <v>23</v>
      </c>
      <c r="H15" s="204" t="s">
        <v>60</v>
      </c>
      <c r="I15" s="204"/>
      <c r="J15" s="204"/>
      <c r="K15" s="204"/>
      <c r="L15" s="78"/>
      <c r="M15" s="14" t="s">
        <v>76</v>
      </c>
      <c r="N15" s="150"/>
      <c r="O15" s="140"/>
      <c r="P15" s="140"/>
      <c r="Q15" s="140"/>
    </row>
    <row r="16" spans="1:17" s="6" customFormat="1" ht="21" customHeight="1" x14ac:dyDescent="0.25">
      <c r="A16" s="30">
        <v>3</v>
      </c>
      <c r="B16" s="30">
        <v>3</v>
      </c>
      <c r="C16" s="30">
        <v>3</v>
      </c>
      <c r="D16" s="30">
        <v>3</v>
      </c>
      <c r="E16" s="254"/>
      <c r="F16" s="30">
        <v>3</v>
      </c>
      <c r="G16" s="14" t="s">
        <v>87</v>
      </c>
      <c r="H16" s="204" t="s">
        <v>61</v>
      </c>
      <c r="I16" s="204"/>
      <c r="J16" s="204"/>
      <c r="K16" s="204"/>
      <c r="L16" s="78" t="s">
        <v>88</v>
      </c>
      <c r="M16" s="14" t="s">
        <v>89</v>
      </c>
      <c r="N16" s="149">
        <f>N14*N15/144</f>
        <v>0</v>
      </c>
      <c r="O16" s="149">
        <f t="shared" ref="O16:Q16" si="0">O14*O15/144</f>
        <v>0</v>
      </c>
      <c r="P16" s="149">
        <f t="shared" si="0"/>
        <v>0</v>
      </c>
      <c r="Q16" s="149">
        <f t="shared" si="0"/>
        <v>0</v>
      </c>
    </row>
    <row r="17" spans="1:17" s="6" customFormat="1" ht="21" customHeight="1" x14ac:dyDescent="0.25">
      <c r="A17" s="30">
        <v>4</v>
      </c>
      <c r="B17" s="30">
        <v>4</v>
      </c>
      <c r="C17" s="30">
        <v>4</v>
      </c>
      <c r="D17" s="30">
        <v>4</v>
      </c>
      <c r="E17" s="254"/>
      <c r="F17" s="30">
        <v>4</v>
      </c>
      <c r="G17" s="14" t="s">
        <v>24</v>
      </c>
      <c r="H17" s="204" t="s">
        <v>25</v>
      </c>
      <c r="I17" s="204"/>
      <c r="J17" s="204"/>
      <c r="K17" s="204"/>
      <c r="L17" s="78"/>
      <c r="M17" s="14"/>
      <c r="N17" s="150"/>
      <c r="O17" s="140"/>
      <c r="P17" s="140"/>
      <c r="Q17" s="140"/>
    </row>
    <row r="18" spans="1:17" s="6" customFormat="1" ht="21" customHeight="1" x14ac:dyDescent="0.25">
      <c r="A18" s="30"/>
      <c r="B18" s="30"/>
      <c r="C18" s="30">
        <v>5</v>
      </c>
      <c r="D18" s="30">
        <v>5</v>
      </c>
      <c r="E18" s="254"/>
      <c r="F18" s="30">
        <v>5</v>
      </c>
      <c r="G18" s="14" t="s">
        <v>90</v>
      </c>
      <c r="H18" s="204" t="s">
        <v>190</v>
      </c>
      <c r="I18" s="204"/>
      <c r="J18" s="204"/>
      <c r="K18" s="204"/>
      <c r="L18" s="78"/>
      <c r="M18" s="14"/>
      <c r="N18" s="56"/>
      <c r="O18" s="114"/>
      <c r="P18" s="114"/>
      <c r="Q18" s="114"/>
    </row>
    <row r="19" spans="1:17" s="6" customFormat="1" ht="21" customHeight="1" x14ac:dyDescent="0.25">
      <c r="A19" s="30"/>
      <c r="B19" s="30"/>
      <c r="C19" s="30">
        <v>6</v>
      </c>
      <c r="D19" s="30">
        <v>6</v>
      </c>
      <c r="E19" s="254"/>
      <c r="F19" s="30">
        <v>6</v>
      </c>
      <c r="G19" s="14" t="s">
        <v>91</v>
      </c>
      <c r="H19" s="204" t="s">
        <v>12</v>
      </c>
      <c r="I19" s="204"/>
      <c r="J19" s="204"/>
      <c r="K19" s="204"/>
      <c r="L19" s="78"/>
      <c r="M19" s="14"/>
      <c r="N19" s="56"/>
      <c r="O19" s="114"/>
      <c r="P19" s="114"/>
      <c r="Q19" s="114"/>
    </row>
    <row r="20" spans="1:17" s="6" customFormat="1" ht="21" customHeight="1" x14ac:dyDescent="0.25">
      <c r="A20" s="30">
        <v>6</v>
      </c>
      <c r="B20" s="30">
        <v>6</v>
      </c>
      <c r="C20" s="30">
        <v>7</v>
      </c>
      <c r="D20" s="30">
        <v>7</v>
      </c>
      <c r="E20" s="254"/>
      <c r="F20" s="30">
        <v>7</v>
      </c>
      <c r="G20" s="14" t="s">
        <v>92</v>
      </c>
      <c r="H20" s="204" t="s">
        <v>11</v>
      </c>
      <c r="I20" s="204"/>
      <c r="J20" s="204"/>
      <c r="K20" s="204"/>
      <c r="L20" s="78"/>
      <c r="M20" s="14"/>
      <c r="N20" s="56"/>
      <c r="O20" s="114"/>
      <c r="P20" s="114"/>
      <c r="Q20" s="114"/>
    </row>
    <row r="21" spans="1:17" s="6" customFormat="1" ht="21.95" customHeight="1" x14ac:dyDescent="0.25">
      <c r="A21" s="31">
        <v>7</v>
      </c>
      <c r="B21" s="31">
        <v>7</v>
      </c>
      <c r="C21" s="31">
        <v>8</v>
      </c>
      <c r="D21" s="32">
        <v>8</v>
      </c>
      <c r="E21" s="254"/>
      <c r="F21" s="33">
        <v>8</v>
      </c>
      <c r="G21" s="34"/>
      <c r="H21" s="291" t="s">
        <v>86</v>
      </c>
      <c r="I21" s="292"/>
      <c r="J21" s="292"/>
      <c r="K21" s="293"/>
      <c r="L21" s="35"/>
      <c r="M21" s="10" t="s">
        <v>191</v>
      </c>
      <c r="N21" s="150"/>
      <c r="O21" s="140"/>
      <c r="P21" s="140"/>
      <c r="Q21" s="140"/>
    </row>
    <row r="22" spans="1:17" s="6" customFormat="1" ht="21" customHeight="1" x14ac:dyDescent="0.25">
      <c r="A22" s="30"/>
      <c r="B22" s="30"/>
      <c r="C22" s="30">
        <v>9</v>
      </c>
      <c r="D22" s="30">
        <v>9</v>
      </c>
      <c r="E22" s="254"/>
      <c r="F22" s="30">
        <v>9</v>
      </c>
      <c r="G22" s="14" t="s">
        <v>93</v>
      </c>
      <c r="H22" s="204" t="s">
        <v>26</v>
      </c>
      <c r="I22" s="204"/>
      <c r="J22" s="204"/>
      <c r="K22" s="204"/>
      <c r="L22" s="78" t="s">
        <v>94</v>
      </c>
      <c r="M22" s="14" t="s">
        <v>89</v>
      </c>
      <c r="N22" s="148">
        <f>(N21*N16*N18)</f>
        <v>0</v>
      </c>
      <c r="O22" s="148">
        <f t="shared" ref="O22:Q22" si="1">(O21*O16*O18)</f>
        <v>0</v>
      </c>
      <c r="P22" s="148">
        <f t="shared" si="1"/>
        <v>0</v>
      </c>
      <c r="Q22" s="148">
        <f t="shared" si="1"/>
        <v>0</v>
      </c>
    </row>
    <row r="23" spans="1:17" s="6" customFormat="1" x14ac:dyDescent="0.25">
      <c r="A23" s="36">
        <v>8</v>
      </c>
      <c r="B23" s="36">
        <v>8</v>
      </c>
      <c r="C23" s="36">
        <v>10</v>
      </c>
      <c r="D23" s="36">
        <v>10</v>
      </c>
      <c r="E23" s="254"/>
      <c r="F23" s="36">
        <v>10</v>
      </c>
      <c r="G23" s="14" t="s">
        <v>95</v>
      </c>
      <c r="H23" s="204" t="s">
        <v>27</v>
      </c>
      <c r="I23" s="204"/>
      <c r="J23" s="204"/>
      <c r="K23" s="204"/>
      <c r="L23" s="78"/>
      <c r="M23" s="14" t="s">
        <v>76</v>
      </c>
      <c r="N23" s="144"/>
      <c r="O23" s="145"/>
      <c r="P23" s="145"/>
      <c r="Q23" s="145"/>
    </row>
    <row r="24" spans="1:17" s="6" customFormat="1" x14ac:dyDescent="0.25">
      <c r="A24" s="31">
        <v>9</v>
      </c>
      <c r="B24" s="31">
        <v>9</v>
      </c>
      <c r="C24" s="31">
        <v>11</v>
      </c>
      <c r="D24" s="31">
        <v>11</v>
      </c>
      <c r="E24" s="254"/>
      <c r="F24" s="31">
        <v>11</v>
      </c>
      <c r="G24" s="135" t="s">
        <v>222</v>
      </c>
      <c r="H24" s="297" t="s">
        <v>13</v>
      </c>
      <c r="I24" s="297"/>
      <c r="J24" s="297"/>
      <c r="K24" s="297"/>
      <c r="L24" s="78" t="s">
        <v>96</v>
      </c>
      <c r="M24" s="14" t="s">
        <v>89</v>
      </c>
      <c r="N24" s="147">
        <f>(PI()/4)*((N23/12)^2)*N20</f>
        <v>0</v>
      </c>
      <c r="O24" s="147">
        <f t="shared" ref="O24:Q24" si="2">(PI()/4)*((O23/12)^2)*O20</f>
        <v>0</v>
      </c>
      <c r="P24" s="147">
        <f t="shared" si="2"/>
        <v>0</v>
      </c>
      <c r="Q24" s="147">
        <f t="shared" si="2"/>
        <v>0</v>
      </c>
    </row>
    <row r="25" spans="1:17" s="6" customFormat="1" x14ac:dyDescent="0.25">
      <c r="A25" s="30">
        <v>10</v>
      </c>
      <c r="B25" s="30">
        <v>10</v>
      </c>
      <c r="C25" s="30">
        <v>12</v>
      </c>
      <c r="D25" s="30">
        <v>12</v>
      </c>
      <c r="E25" s="254"/>
      <c r="F25" s="36">
        <v>12</v>
      </c>
      <c r="G25" s="14" t="s">
        <v>97</v>
      </c>
      <c r="H25" s="204" t="s">
        <v>28</v>
      </c>
      <c r="I25" s="204"/>
      <c r="J25" s="204"/>
      <c r="K25" s="291"/>
      <c r="L25" s="78"/>
      <c r="M25" s="14" t="s">
        <v>76</v>
      </c>
      <c r="N25" s="73"/>
      <c r="O25" s="114"/>
      <c r="P25" s="114"/>
      <c r="Q25" s="114"/>
    </row>
    <row r="26" spans="1:17" s="6" customFormat="1" x14ac:dyDescent="0.25">
      <c r="A26" s="30"/>
      <c r="B26" s="30">
        <v>11</v>
      </c>
      <c r="C26" s="30"/>
      <c r="D26" s="30">
        <v>13</v>
      </c>
      <c r="E26" s="254"/>
      <c r="F26" s="115">
        <v>13</v>
      </c>
      <c r="G26" s="136" t="s">
        <v>223</v>
      </c>
      <c r="H26" s="204" t="s">
        <v>203</v>
      </c>
      <c r="I26" s="204"/>
      <c r="J26" s="204"/>
      <c r="K26" s="204"/>
      <c r="L26" s="78"/>
      <c r="M26" s="14"/>
      <c r="N26" s="146">
        <f t="shared" ref="N26:Q26" si="3">IF(N23=0,0,N25/N23)</f>
        <v>0</v>
      </c>
      <c r="O26" s="146">
        <f t="shared" si="3"/>
        <v>0</v>
      </c>
      <c r="P26" s="146">
        <f t="shared" si="3"/>
        <v>0</v>
      </c>
      <c r="Q26" s="146">
        <f t="shared" si="3"/>
        <v>0</v>
      </c>
    </row>
    <row r="27" spans="1:17" s="6" customFormat="1" x14ac:dyDescent="0.25">
      <c r="A27" s="30">
        <v>11</v>
      </c>
      <c r="B27" s="30">
        <v>12</v>
      </c>
      <c r="C27" s="30">
        <v>13</v>
      </c>
      <c r="D27" s="30">
        <v>14</v>
      </c>
      <c r="E27" s="254"/>
      <c r="F27" s="37">
        <v>14</v>
      </c>
      <c r="G27" s="14" t="s">
        <v>98</v>
      </c>
      <c r="H27" s="204" t="s">
        <v>14</v>
      </c>
      <c r="I27" s="204"/>
      <c r="J27" s="204"/>
      <c r="K27" s="291"/>
      <c r="L27" s="78"/>
      <c r="M27" s="14" t="s">
        <v>76</v>
      </c>
      <c r="N27" s="73"/>
      <c r="O27" s="114"/>
      <c r="P27" s="114"/>
      <c r="Q27" s="114"/>
    </row>
    <row r="28" spans="1:17" s="6" customFormat="1" x14ac:dyDescent="0.25">
      <c r="A28" s="31">
        <v>12</v>
      </c>
      <c r="B28" s="31">
        <v>13</v>
      </c>
      <c r="C28" s="31">
        <v>14</v>
      </c>
      <c r="D28" s="31">
        <v>15</v>
      </c>
      <c r="E28" s="255"/>
      <c r="F28" s="30">
        <v>15</v>
      </c>
      <c r="G28" s="14" t="s">
        <v>99</v>
      </c>
      <c r="H28" s="297" t="s">
        <v>15</v>
      </c>
      <c r="I28" s="297"/>
      <c r="J28" s="297"/>
      <c r="K28" s="297"/>
      <c r="L28" s="101" t="s">
        <v>224</v>
      </c>
      <c r="M28" s="14" t="s">
        <v>77</v>
      </c>
      <c r="N28" s="146">
        <f>IF(N20=0,0,(1/12)*(N25*(N19/N20)+(N27*(N19/N20-1))))</f>
        <v>0</v>
      </c>
      <c r="O28" s="146">
        <f t="shared" ref="O28:Q28" si="4">IF(O20=0,0,(1/12)*(O25*(O19/O20)+(O27*(O19/O20-1))))</f>
        <v>0</v>
      </c>
      <c r="P28" s="146">
        <f t="shared" si="4"/>
        <v>0</v>
      </c>
      <c r="Q28" s="146">
        <f t="shared" si="4"/>
        <v>0</v>
      </c>
    </row>
    <row r="29" spans="1:17" s="75" customFormat="1" ht="44.1" customHeight="1" x14ac:dyDescent="0.25">
      <c r="A29" s="30">
        <v>13</v>
      </c>
      <c r="B29" s="30">
        <v>14</v>
      </c>
      <c r="C29" s="30">
        <v>15</v>
      </c>
      <c r="D29" s="30">
        <v>16</v>
      </c>
      <c r="E29" s="253" t="s">
        <v>175</v>
      </c>
      <c r="F29" s="77">
        <v>16</v>
      </c>
      <c r="G29" s="62" t="s">
        <v>162</v>
      </c>
      <c r="H29" s="294" t="s">
        <v>163</v>
      </c>
      <c r="I29" s="295"/>
      <c r="J29" s="295"/>
      <c r="K29" s="295"/>
      <c r="L29" s="296"/>
      <c r="M29" s="14" t="s">
        <v>122</v>
      </c>
      <c r="N29" s="144"/>
      <c r="O29" s="145"/>
      <c r="P29" s="145"/>
      <c r="Q29" s="145"/>
    </row>
    <row r="30" spans="1:17" s="6" customFormat="1" ht="18.75" customHeight="1" x14ac:dyDescent="0.25">
      <c r="A30" s="31">
        <v>14</v>
      </c>
      <c r="B30" s="31">
        <v>15</v>
      </c>
      <c r="C30" s="31">
        <v>16</v>
      </c>
      <c r="D30" s="31">
        <v>17</v>
      </c>
      <c r="E30" s="254"/>
      <c r="F30" s="31">
        <v>17</v>
      </c>
      <c r="G30" s="14" t="s">
        <v>71</v>
      </c>
      <c r="H30" s="205" t="s">
        <v>29</v>
      </c>
      <c r="I30" s="206"/>
      <c r="J30" s="206"/>
      <c r="K30" s="207"/>
      <c r="L30" s="38"/>
      <c r="M30" s="39" t="s">
        <v>30</v>
      </c>
      <c r="N30" s="142"/>
      <c r="O30" s="143"/>
      <c r="P30" s="143"/>
      <c r="Q30" s="143"/>
    </row>
    <row r="31" spans="1:17" s="6" customFormat="1" x14ac:dyDescent="0.25">
      <c r="A31" s="30">
        <v>15</v>
      </c>
      <c r="B31" s="30">
        <v>16</v>
      </c>
      <c r="C31" s="30">
        <v>17</v>
      </c>
      <c r="D31" s="30">
        <v>18</v>
      </c>
      <c r="E31" s="254"/>
      <c r="F31" s="36">
        <v>18</v>
      </c>
      <c r="G31" s="40" t="s">
        <v>100</v>
      </c>
      <c r="H31" s="297" t="s">
        <v>31</v>
      </c>
      <c r="I31" s="297"/>
      <c r="J31" s="297"/>
      <c r="K31" s="297"/>
      <c r="L31" s="41" t="s">
        <v>205</v>
      </c>
      <c r="M31" s="14" t="s">
        <v>32</v>
      </c>
      <c r="N31" s="141">
        <f>IF(N16=0,0,N30/N16)</f>
        <v>0</v>
      </c>
      <c r="O31" s="141">
        <f t="shared" ref="O31:Q31" si="5">IF(O16=0,0,O30/O16)</f>
        <v>0</v>
      </c>
      <c r="P31" s="141">
        <f t="shared" si="5"/>
        <v>0</v>
      </c>
      <c r="Q31" s="141">
        <f t="shared" si="5"/>
        <v>0</v>
      </c>
    </row>
    <row r="32" spans="1:17" s="6" customFormat="1" x14ac:dyDescent="0.25">
      <c r="A32" s="30">
        <v>16</v>
      </c>
      <c r="B32" s="30">
        <v>17</v>
      </c>
      <c r="C32" s="30">
        <v>18</v>
      </c>
      <c r="D32" s="30">
        <v>19</v>
      </c>
      <c r="E32" s="254"/>
      <c r="F32" s="30">
        <v>19</v>
      </c>
      <c r="G32" s="14" t="s">
        <v>101</v>
      </c>
      <c r="H32" s="204" t="s">
        <v>33</v>
      </c>
      <c r="I32" s="204"/>
      <c r="J32" s="204"/>
      <c r="K32" s="204"/>
      <c r="L32" s="78"/>
      <c r="M32" s="14" t="s">
        <v>102</v>
      </c>
      <c r="N32" s="139"/>
      <c r="O32" s="140"/>
      <c r="P32" s="140"/>
      <c r="Q32" s="140"/>
    </row>
    <row r="33" spans="1:18" s="6" customFormat="1" x14ac:dyDescent="0.25">
      <c r="A33" s="30"/>
      <c r="B33" s="30">
        <v>18</v>
      </c>
      <c r="C33" s="30"/>
      <c r="D33" s="30">
        <v>20</v>
      </c>
      <c r="E33" s="254"/>
      <c r="F33" s="36">
        <v>20</v>
      </c>
      <c r="G33" s="14" t="s">
        <v>103</v>
      </c>
      <c r="H33" s="204" t="s">
        <v>34</v>
      </c>
      <c r="I33" s="204"/>
      <c r="J33" s="204"/>
      <c r="K33" s="204"/>
      <c r="L33" s="41"/>
      <c r="M33" s="14" t="s">
        <v>64</v>
      </c>
      <c r="N33" s="139"/>
      <c r="O33" s="140"/>
      <c r="P33" s="140"/>
      <c r="Q33" s="140"/>
    </row>
    <row r="34" spans="1:18" s="6" customFormat="1" x14ac:dyDescent="0.25">
      <c r="A34" s="30"/>
      <c r="B34" s="30">
        <v>19</v>
      </c>
      <c r="C34" s="30"/>
      <c r="D34" s="30">
        <v>21</v>
      </c>
      <c r="E34" s="254"/>
      <c r="F34" s="30">
        <v>21</v>
      </c>
      <c r="G34" s="14" t="s">
        <v>104</v>
      </c>
      <c r="H34" s="204" t="s">
        <v>16</v>
      </c>
      <c r="I34" s="204"/>
      <c r="J34" s="204"/>
      <c r="K34" s="204"/>
      <c r="L34" s="78"/>
      <c r="M34" s="14" t="s">
        <v>102</v>
      </c>
      <c r="N34" s="139"/>
      <c r="O34" s="140"/>
      <c r="P34" s="140"/>
      <c r="Q34" s="140"/>
    </row>
    <row r="35" spans="1:18" s="11" customFormat="1" x14ac:dyDescent="0.25">
      <c r="A35" s="5">
        <v>17</v>
      </c>
      <c r="B35" s="30">
        <v>20</v>
      </c>
      <c r="C35" s="30">
        <v>19</v>
      </c>
      <c r="D35" s="30">
        <v>22</v>
      </c>
      <c r="E35" s="254"/>
      <c r="F35" s="36">
        <v>22</v>
      </c>
      <c r="G35" s="14" t="s">
        <v>105</v>
      </c>
      <c r="H35" s="236" t="s">
        <v>35</v>
      </c>
      <c r="I35" s="237"/>
      <c r="J35" s="237"/>
      <c r="K35" s="238"/>
      <c r="L35" s="76"/>
      <c r="M35" s="10" t="s">
        <v>78</v>
      </c>
      <c r="N35" s="139"/>
      <c r="O35" s="140"/>
      <c r="P35" s="140"/>
      <c r="Q35" s="140"/>
    </row>
    <row r="36" spans="1:18" s="6" customFormat="1" x14ac:dyDescent="0.25">
      <c r="A36" s="30">
        <v>18</v>
      </c>
      <c r="B36" s="30"/>
      <c r="C36" s="30">
        <v>20</v>
      </c>
      <c r="D36" s="30"/>
      <c r="E36" s="254"/>
      <c r="F36" s="31">
        <v>23</v>
      </c>
      <c r="G36" s="14" t="s">
        <v>106</v>
      </c>
      <c r="H36" s="204" t="s">
        <v>36</v>
      </c>
      <c r="I36" s="204"/>
      <c r="J36" s="204"/>
      <c r="K36" s="204"/>
      <c r="L36" s="38"/>
      <c r="M36" s="39" t="s">
        <v>40</v>
      </c>
      <c r="N36" s="139"/>
      <c r="O36" s="140"/>
      <c r="P36" s="140"/>
      <c r="Q36" s="140"/>
    </row>
    <row r="37" spans="1:18" s="6" customFormat="1" x14ac:dyDescent="0.25">
      <c r="A37" s="31">
        <v>19</v>
      </c>
      <c r="B37" s="31"/>
      <c r="C37" s="31">
        <v>21</v>
      </c>
      <c r="D37" s="30"/>
      <c r="E37" s="254"/>
      <c r="F37" s="31">
        <v>24</v>
      </c>
      <c r="G37" s="40" t="s">
        <v>107</v>
      </c>
      <c r="H37" s="297" t="s">
        <v>37</v>
      </c>
      <c r="I37" s="297"/>
      <c r="J37" s="297"/>
      <c r="K37" s="297"/>
      <c r="L37" s="38"/>
      <c r="M37" s="14" t="s">
        <v>102</v>
      </c>
      <c r="N37" s="139"/>
      <c r="O37" s="140"/>
      <c r="P37" s="140"/>
      <c r="Q37" s="140"/>
    </row>
    <row r="38" spans="1:18" s="6" customFormat="1" x14ac:dyDescent="0.25">
      <c r="A38" s="30">
        <v>20</v>
      </c>
      <c r="B38" s="30"/>
      <c r="C38" s="30">
        <v>22</v>
      </c>
      <c r="D38" s="31"/>
      <c r="E38" s="254"/>
      <c r="F38" s="43">
        <v>25</v>
      </c>
      <c r="G38" s="14" t="s">
        <v>106</v>
      </c>
      <c r="H38" s="297" t="s">
        <v>38</v>
      </c>
      <c r="I38" s="297"/>
      <c r="J38" s="297"/>
      <c r="K38" s="297"/>
      <c r="L38" s="85" t="s">
        <v>108</v>
      </c>
      <c r="M38" s="39" t="s">
        <v>39</v>
      </c>
      <c r="N38" s="138">
        <f>IF(N35*N36=0,0,(N36+(14.696/29.921*N35)))</f>
        <v>0</v>
      </c>
      <c r="O38" s="138">
        <f t="shared" ref="O38:Q38" si="6">(O36+(14.696/29.921*O35))</f>
        <v>0</v>
      </c>
      <c r="P38" s="138">
        <f t="shared" si="6"/>
        <v>0</v>
      </c>
      <c r="Q38" s="138">
        <f t="shared" si="6"/>
        <v>0</v>
      </c>
    </row>
    <row r="39" spans="1:18" s="6" customFormat="1" ht="33" customHeight="1" x14ac:dyDescent="0.25">
      <c r="A39" s="30">
        <v>21</v>
      </c>
      <c r="B39" s="30"/>
      <c r="C39" s="30">
        <v>23</v>
      </c>
      <c r="D39" s="42"/>
      <c r="E39" s="254"/>
      <c r="F39" s="30">
        <v>26</v>
      </c>
      <c r="G39" s="39" t="s">
        <v>109</v>
      </c>
      <c r="H39" s="205" t="s">
        <v>85</v>
      </c>
      <c r="I39" s="206"/>
      <c r="J39" s="206"/>
      <c r="K39" s="207"/>
      <c r="L39" s="84"/>
      <c r="M39" s="14" t="s">
        <v>102</v>
      </c>
      <c r="N39" s="139"/>
      <c r="O39" s="140"/>
      <c r="P39" s="140"/>
      <c r="Q39" s="140"/>
    </row>
    <row r="40" spans="1:18" s="6" customFormat="1" ht="27.95" customHeight="1" x14ac:dyDescent="0.25">
      <c r="A40" s="30">
        <v>22</v>
      </c>
      <c r="B40" s="30">
        <v>21</v>
      </c>
      <c r="C40" s="30"/>
      <c r="D40" s="42"/>
      <c r="E40" s="254"/>
      <c r="F40" s="31">
        <v>27</v>
      </c>
      <c r="G40" s="14" t="s">
        <v>154</v>
      </c>
      <c r="H40" s="208" t="s">
        <v>226</v>
      </c>
      <c r="I40" s="209"/>
      <c r="J40" s="209"/>
      <c r="K40" s="210"/>
      <c r="L40" s="38"/>
      <c r="M40" s="8" t="s">
        <v>80</v>
      </c>
      <c r="N40" s="151"/>
      <c r="O40" s="152"/>
      <c r="P40" s="152"/>
      <c r="Q40" s="152"/>
    </row>
    <row r="41" spans="1:18" s="6" customFormat="1" ht="18" customHeight="1" x14ac:dyDescent="0.25">
      <c r="A41" s="31">
        <v>23</v>
      </c>
      <c r="B41" s="31">
        <v>22</v>
      </c>
      <c r="C41" s="31">
        <v>24</v>
      </c>
      <c r="D41" s="31">
        <v>23</v>
      </c>
      <c r="E41" s="254"/>
      <c r="F41" s="31">
        <v>28</v>
      </c>
      <c r="G41" s="40" t="s">
        <v>153</v>
      </c>
      <c r="H41" s="300" t="s">
        <v>206</v>
      </c>
      <c r="I41" s="301"/>
      <c r="J41" s="301"/>
      <c r="K41" s="302"/>
      <c r="L41" s="121" t="str">
        <f>IF($L6=I42,I42,IF($L6=I43,I43,IF($L6=I44,I44," ")))</f>
        <v xml:space="preserve"> </v>
      </c>
      <c r="M41" s="244" t="s">
        <v>72</v>
      </c>
      <c r="N41" s="139" t="str">
        <f>IF($L6="choose"," ",IF($L6=$I42,N42,IF($L6=$I43,N43,IF($L6=$I44,N44,"err"))))</f>
        <v xml:space="preserve"> </v>
      </c>
      <c r="O41" s="139" t="str">
        <f>IF($L6="Choose"," ",IF($L6=$I42,O42,IF($L6=$I43,O43,IF($L6=$I44,O44,"err"))))</f>
        <v xml:space="preserve"> </v>
      </c>
      <c r="P41" s="139" t="str">
        <f t="shared" ref="P41:Q41" si="7">IF($L6="choose"," ",IF($L6=$I42,P42,IF($L6=$I43,P43,IF($L6=$I44,P44,"err"))))</f>
        <v xml:space="preserve"> </v>
      </c>
      <c r="Q41" s="139" t="str">
        <f t="shared" si="7"/>
        <v xml:space="preserve"> </v>
      </c>
    </row>
    <row r="42" spans="1:18" s="6" customFormat="1" ht="18" customHeight="1" x14ac:dyDescent="0.25">
      <c r="A42" s="37"/>
      <c r="B42" s="37"/>
      <c r="C42" s="37"/>
      <c r="D42" s="120"/>
      <c r="E42" s="254"/>
      <c r="F42" s="37"/>
      <c r="G42" s="34"/>
      <c r="I42" s="242" t="s">
        <v>210</v>
      </c>
      <c r="J42" s="242"/>
      <c r="K42" s="243"/>
      <c r="L42" s="118" t="s">
        <v>207</v>
      </c>
      <c r="M42" s="245"/>
      <c r="N42" s="139" t="str">
        <f>IF($L6 = "Choose"," ",IF($L6="Single Tube Steam",(N39-N32), " "))</f>
        <v xml:space="preserve"> </v>
      </c>
      <c r="O42" s="139" t="str">
        <f t="shared" ref="O42:Q42" si="8">IF($L6 = "Choose"," ",IF($L6="Single Tube Steam",(O39-O32), " "))</f>
        <v xml:space="preserve"> </v>
      </c>
      <c r="P42" s="139" t="str">
        <f t="shared" si="8"/>
        <v xml:space="preserve"> </v>
      </c>
      <c r="Q42" s="139" t="str">
        <f t="shared" si="8"/>
        <v xml:space="preserve"> </v>
      </c>
    </row>
    <row r="43" spans="1:18" s="6" customFormat="1" ht="18" customHeight="1" x14ac:dyDescent="0.25">
      <c r="A43" s="37"/>
      <c r="B43" s="37"/>
      <c r="C43" s="37"/>
      <c r="D43" s="37"/>
      <c r="E43" s="254"/>
      <c r="F43" s="37"/>
      <c r="G43" s="34"/>
      <c r="I43" s="234" t="s">
        <v>234</v>
      </c>
      <c r="J43" s="234"/>
      <c r="K43" s="235"/>
      <c r="L43" s="118" t="s">
        <v>208</v>
      </c>
      <c r="M43" s="245"/>
      <c r="N43" s="139" t="str">
        <f>IF($L6 = "Choose"," ",IF($L6="Hot Water",(N34-N32), " "))</f>
        <v xml:space="preserve"> </v>
      </c>
      <c r="O43" s="139" t="str">
        <f>IF($L6 = "Choose"," ",IF($L6="Hot Water",(O34-O32), " "))</f>
        <v xml:space="preserve"> </v>
      </c>
      <c r="P43" s="139" t="str">
        <f t="shared" ref="P43:Q43" si="9">IF($L6 = "Choose"," ",IF($L6="Hot Water",(P34-P32), " "))</f>
        <v xml:space="preserve"> </v>
      </c>
      <c r="Q43" s="139" t="str">
        <f t="shared" si="9"/>
        <v xml:space="preserve"> </v>
      </c>
    </row>
    <row r="44" spans="1:18" s="6" customFormat="1" ht="18" customHeight="1" x14ac:dyDescent="0.25">
      <c r="A44" s="36"/>
      <c r="B44" s="36"/>
      <c r="C44" s="36"/>
      <c r="D44" s="36"/>
      <c r="E44" s="255"/>
      <c r="F44" s="36"/>
      <c r="G44" s="39"/>
      <c r="I44" s="234" t="s">
        <v>235</v>
      </c>
      <c r="J44" s="234"/>
      <c r="K44" s="235"/>
      <c r="L44" s="118" t="s">
        <v>209</v>
      </c>
      <c r="M44" s="246"/>
      <c r="N44" s="139" t="str">
        <f>IF($L6 = "Choose"," ",IF($L6="Cold Water",(N32-N34), " "))</f>
        <v xml:space="preserve"> </v>
      </c>
      <c r="O44" s="139" t="str">
        <f>IF($L6 = "Choose"," ",IF($L6="Cold Water",(O32-O34), " "))</f>
        <v xml:space="preserve"> </v>
      </c>
      <c r="P44" s="139" t="str">
        <f t="shared" ref="P44:Q44" si="10">IF($L6 = "Choose"," ",IF($L6="Cold Water",(P32-P34), " "))</f>
        <v xml:space="preserve"> </v>
      </c>
      <c r="Q44" s="139" t="str">
        <f t="shared" si="10"/>
        <v xml:space="preserve"> </v>
      </c>
    </row>
    <row r="45" spans="1:18" s="6" customFormat="1" ht="39.950000000000003" customHeight="1" x14ac:dyDescent="0.25">
      <c r="A45" s="30">
        <v>24</v>
      </c>
      <c r="B45" s="30"/>
      <c r="C45" s="30">
        <v>25</v>
      </c>
      <c r="D45" s="30"/>
      <c r="E45" s="253" t="s">
        <v>169</v>
      </c>
      <c r="F45" s="30">
        <v>29</v>
      </c>
      <c r="G45" s="39" t="s">
        <v>110</v>
      </c>
      <c r="H45" s="205" t="s">
        <v>229</v>
      </c>
      <c r="I45" s="206"/>
      <c r="J45" s="206"/>
      <c r="K45" s="207"/>
      <c r="L45" s="84"/>
      <c r="M45" s="39" t="s">
        <v>111</v>
      </c>
      <c r="N45" s="139"/>
      <c r="O45" s="140"/>
      <c r="P45" s="140"/>
      <c r="Q45" s="140"/>
    </row>
    <row r="46" spans="1:18" s="6" customFormat="1" ht="33" customHeight="1" x14ac:dyDescent="0.25">
      <c r="A46" s="5">
        <v>25</v>
      </c>
      <c r="B46" s="30"/>
      <c r="C46" s="30">
        <v>26</v>
      </c>
      <c r="D46" s="30"/>
      <c r="E46" s="254"/>
      <c r="F46" s="30">
        <v>30</v>
      </c>
      <c r="G46" s="44" t="s">
        <v>112</v>
      </c>
      <c r="H46" s="205" t="s">
        <v>113</v>
      </c>
      <c r="I46" s="206"/>
      <c r="J46" s="206"/>
      <c r="K46" s="207"/>
      <c r="L46" s="38"/>
      <c r="M46" s="39" t="s">
        <v>41</v>
      </c>
      <c r="N46" s="139"/>
      <c r="O46" s="140"/>
      <c r="P46" s="140"/>
      <c r="Q46" s="140"/>
    </row>
    <row r="47" spans="1:18" s="6" customFormat="1" ht="48" customHeight="1" x14ac:dyDescent="0.25">
      <c r="A47" s="30">
        <v>26</v>
      </c>
      <c r="B47" s="30"/>
      <c r="C47" s="30">
        <v>27</v>
      </c>
      <c r="D47" s="30"/>
      <c r="E47" s="255"/>
      <c r="F47" s="30">
        <v>31</v>
      </c>
      <c r="G47" s="44" t="s">
        <v>114</v>
      </c>
      <c r="H47" s="205" t="s">
        <v>227</v>
      </c>
      <c r="I47" s="206"/>
      <c r="J47" s="206"/>
      <c r="K47" s="207"/>
      <c r="L47" s="38"/>
      <c r="M47" s="39" t="s">
        <v>41</v>
      </c>
      <c r="N47" s="139"/>
      <c r="O47" s="140"/>
      <c r="P47" s="140"/>
      <c r="Q47" s="140"/>
      <c r="R47" s="122"/>
    </row>
    <row r="48" spans="1:18" s="6" customFormat="1" ht="18.75" customHeight="1" x14ac:dyDescent="0.25">
      <c r="A48" s="30"/>
      <c r="B48" s="30">
        <v>23</v>
      </c>
      <c r="C48" s="30"/>
      <c r="D48" s="30">
        <v>24</v>
      </c>
      <c r="E48" s="79"/>
      <c r="F48" s="30">
        <v>32</v>
      </c>
      <c r="G48" s="14" t="s">
        <v>116</v>
      </c>
      <c r="H48" s="271" t="s">
        <v>17</v>
      </c>
      <c r="I48" s="272"/>
      <c r="J48" s="272"/>
      <c r="K48" s="273"/>
      <c r="L48" s="45" t="s">
        <v>216</v>
      </c>
      <c r="M48" s="10" t="s">
        <v>79</v>
      </c>
      <c r="N48" s="153">
        <f>62.361*3600*N24*N33</f>
        <v>0</v>
      </c>
      <c r="O48" s="153">
        <f t="shared" ref="O48:Q48" si="11">62.361*3600*O24*O33</f>
        <v>0</v>
      </c>
      <c r="P48" s="153">
        <f t="shared" si="11"/>
        <v>0</v>
      </c>
      <c r="Q48" s="153">
        <f t="shared" si="11"/>
        <v>0</v>
      </c>
    </row>
    <row r="49" spans="1:17" s="6" customFormat="1" ht="18" customHeight="1" x14ac:dyDescent="0.25">
      <c r="A49" s="30"/>
      <c r="B49" s="30">
        <v>24</v>
      </c>
      <c r="C49" s="30"/>
      <c r="D49" s="30"/>
      <c r="E49" s="79"/>
      <c r="F49" s="30">
        <v>33</v>
      </c>
      <c r="G49" s="88" t="s">
        <v>176</v>
      </c>
      <c r="H49" s="256" t="s">
        <v>49</v>
      </c>
      <c r="I49" s="257"/>
      <c r="J49" s="257"/>
      <c r="K49" s="258"/>
      <c r="L49" s="110" t="s">
        <v>192</v>
      </c>
      <c r="M49" s="91" t="s">
        <v>72</v>
      </c>
      <c r="N49" s="146">
        <f>IF(N48=0,0,N40/N48)</f>
        <v>0</v>
      </c>
      <c r="O49" s="146">
        <f>IF(O48=0,0,O40/O48)</f>
        <v>0</v>
      </c>
      <c r="P49" s="146">
        <f>IF(P48=0,0,P40/P48)</f>
        <v>0</v>
      </c>
      <c r="Q49" s="146">
        <f>IF(Q48=0,0,Q40/Q48)</f>
        <v>0</v>
      </c>
    </row>
    <row r="50" spans="1:17" s="6" customFormat="1" ht="84.95" customHeight="1" x14ac:dyDescent="0.25">
      <c r="A50" s="30"/>
      <c r="B50" s="30">
        <v>25</v>
      </c>
      <c r="C50" s="30"/>
      <c r="D50" s="30">
        <v>25</v>
      </c>
      <c r="E50" s="79"/>
      <c r="F50" s="36">
        <v>34</v>
      </c>
      <c r="G50" s="44" t="s">
        <v>115</v>
      </c>
      <c r="H50" s="221" t="s">
        <v>170</v>
      </c>
      <c r="I50" s="222"/>
      <c r="J50" s="222"/>
      <c r="K50" s="223"/>
      <c r="L50" s="68"/>
      <c r="M50" s="15" t="s">
        <v>72</v>
      </c>
      <c r="N50" s="139"/>
      <c r="O50" s="140"/>
      <c r="P50" s="140"/>
      <c r="Q50" s="140"/>
    </row>
    <row r="51" spans="1:17" s="6" customFormat="1" ht="18.75" customHeight="1" x14ac:dyDescent="0.25">
      <c r="A51" s="31"/>
      <c r="B51" s="31">
        <v>26</v>
      </c>
      <c r="C51" s="31"/>
      <c r="D51" s="31">
        <v>26</v>
      </c>
      <c r="E51" s="254"/>
      <c r="F51" s="31">
        <v>35</v>
      </c>
      <c r="G51" s="46" t="s">
        <v>117</v>
      </c>
      <c r="H51" s="236" t="s">
        <v>118</v>
      </c>
      <c r="I51" s="237"/>
      <c r="J51" s="237"/>
      <c r="K51" s="238"/>
      <c r="L51" s="41"/>
      <c r="M51" s="14" t="s">
        <v>119</v>
      </c>
      <c r="N51" s="144"/>
      <c r="O51" s="145"/>
      <c r="P51" s="145"/>
      <c r="Q51" s="145"/>
    </row>
    <row r="52" spans="1:17" s="6" customFormat="1" ht="18.75" customHeight="1" x14ac:dyDescent="0.25">
      <c r="A52" s="31"/>
      <c r="B52" s="31">
        <v>27</v>
      </c>
      <c r="C52" s="31"/>
      <c r="D52" s="31">
        <v>27</v>
      </c>
      <c r="E52" s="254"/>
      <c r="F52" s="31">
        <v>36</v>
      </c>
      <c r="G52" s="47" t="s">
        <v>120</v>
      </c>
      <c r="H52" s="48" t="s">
        <v>121</v>
      </c>
      <c r="I52" s="49"/>
      <c r="J52" s="49"/>
      <c r="K52" s="50"/>
      <c r="L52" s="41"/>
      <c r="M52" s="14" t="s">
        <v>122</v>
      </c>
      <c r="N52" s="144"/>
      <c r="O52" s="145"/>
      <c r="P52" s="145"/>
      <c r="Q52" s="145"/>
    </row>
    <row r="53" spans="1:17" s="6" customFormat="1" ht="18.75" customHeight="1" x14ac:dyDescent="0.25">
      <c r="A53" s="31"/>
      <c r="B53" s="31">
        <v>28</v>
      </c>
      <c r="C53" s="31"/>
      <c r="D53" s="31">
        <v>28</v>
      </c>
      <c r="E53" s="254"/>
      <c r="F53" s="31">
        <v>37</v>
      </c>
      <c r="G53" s="47" t="s">
        <v>123</v>
      </c>
      <c r="H53" s="48" t="s">
        <v>124</v>
      </c>
      <c r="I53" s="49"/>
      <c r="J53" s="49"/>
      <c r="K53" s="50"/>
      <c r="L53" s="41"/>
      <c r="M53" s="14" t="s">
        <v>125</v>
      </c>
      <c r="N53" s="144"/>
      <c r="O53" s="145"/>
      <c r="P53" s="145"/>
      <c r="Q53" s="145"/>
    </row>
    <row r="54" spans="1:17" s="6" customFormat="1" ht="28.7" customHeight="1" x14ac:dyDescent="0.25">
      <c r="A54" s="30"/>
      <c r="B54" s="30">
        <v>29</v>
      </c>
      <c r="C54" s="30"/>
      <c r="D54" s="30">
        <v>29</v>
      </c>
      <c r="E54" s="254"/>
      <c r="F54" s="30">
        <v>38</v>
      </c>
      <c r="G54" s="47" t="s">
        <v>220</v>
      </c>
      <c r="H54" s="48" t="s">
        <v>126</v>
      </c>
      <c r="I54" s="49"/>
      <c r="J54" s="49"/>
      <c r="K54" s="50"/>
      <c r="L54" s="41"/>
      <c r="M54" s="10" t="s">
        <v>127</v>
      </c>
      <c r="N54" s="144"/>
      <c r="O54" s="145"/>
      <c r="P54" s="145"/>
      <c r="Q54" s="145"/>
    </row>
    <row r="55" spans="1:17" s="6" customFormat="1" ht="18.75" customHeight="1" x14ac:dyDescent="0.25">
      <c r="A55" s="31"/>
      <c r="B55" s="31">
        <v>30</v>
      </c>
      <c r="C55" s="31"/>
      <c r="D55" s="31">
        <v>30</v>
      </c>
      <c r="E55" s="254"/>
      <c r="F55" s="31">
        <v>39</v>
      </c>
      <c r="G55" s="47" t="s">
        <v>128</v>
      </c>
      <c r="H55" s="51" t="s">
        <v>129</v>
      </c>
      <c r="I55" s="52"/>
      <c r="J55" s="52"/>
      <c r="K55" s="45"/>
      <c r="L55" s="41" t="s">
        <v>130</v>
      </c>
      <c r="M55" s="10" t="s">
        <v>65</v>
      </c>
      <c r="N55" s="146">
        <f>IF(N54=0,0,(N52*N53/N54))</f>
        <v>0</v>
      </c>
      <c r="O55" s="146">
        <f t="shared" ref="O55:Q55" si="12">IF(O54=0,0,(O52*O53/O54))</f>
        <v>0</v>
      </c>
      <c r="P55" s="146">
        <f t="shared" si="12"/>
        <v>0</v>
      </c>
      <c r="Q55" s="146">
        <f t="shared" si="12"/>
        <v>0</v>
      </c>
    </row>
    <row r="56" spans="1:17" s="6" customFormat="1" ht="18.75" customHeight="1" x14ac:dyDescent="0.25">
      <c r="A56" s="31"/>
      <c r="B56" s="31">
        <v>31</v>
      </c>
      <c r="C56" s="31"/>
      <c r="D56" s="31">
        <v>31</v>
      </c>
      <c r="E56" s="254"/>
      <c r="F56" s="31">
        <v>40</v>
      </c>
      <c r="G56" s="47" t="s">
        <v>131</v>
      </c>
      <c r="H56" s="264"/>
      <c r="I56" s="265"/>
      <c r="J56" s="265"/>
      <c r="K56" s="266"/>
      <c r="L56" s="41" t="s">
        <v>132</v>
      </c>
      <c r="M56" s="10" t="s">
        <v>65</v>
      </c>
      <c r="N56" s="146">
        <f>IF(N54=0,0,((N52*N53/N54)^(2/3)))</f>
        <v>0</v>
      </c>
      <c r="O56" s="146">
        <f t="shared" ref="O56:Q56" si="13">IF(O54=0,0,((O52*O53/O54)^(2/3)))</f>
        <v>0</v>
      </c>
      <c r="P56" s="146">
        <f t="shared" si="13"/>
        <v>0</v>
      </c>
      <c r="Q56" s="146">
        <f t="shared" si="13"/>
        <v>0</v>
      </c>
    </row>
    <row r="57" spans="1:17" s="6" customFormat="1" ht="18.75" customHeight="1" x14ac:dyDescent="0.25">
      <c r="A57" s="31"/>
      <c r="B57" s="31">
        <v>32</v>
      </c>
      <c r="C57" s="31"/>
      <c r="D57" s="31">
        <v>32</v>
      </c>
      <c r="E57" s="254"/>
      <c r="F57" s="31">
        <v>41</v>
      </c>
      <c r="G57" s="14" t="s">
        <v>133</v>
      </c>
      <c r="H57" s="48" t="s">
        <v>134</v>
      </c>
      <c r="I57" s="53"/>
      <c r="J57" s="53"/>
      <c r="K57" s="41"/>
      <c r="L57" s="78" t="s">
        <v>135</v>
      </c>
      <c r="M57" s="10" t="s">
        <v>136</v>
      </c>
      <c r="N57" s="180">
        <f xml:space="preserve"> IF(N24=0,0,N48/N24)</f>
        <v>0</v>
      </c>
      <c r="O57" s="180">
        <f xml:space="preserve"> IF(O24=0,0,O48/O24)</f>
        <v>0</v>
      </c>
      <c r="P57" s="180">
        <f xml:space="preserve"> IF(P24=0,0,P48/P24)</f>
        <v>0</v>
      </c>
      <c r="Q57" s="180">
        <f xml:space="preserve"> IF(Q24=0,0,Q48/Q24)</f>
        <v>0</v>
      </c>
    </row>
    <row r="58" spans="1:17" s="6" customFormat="1" ht="18.75" customHeight="1" x14ac:dyDescent="0.25">
      <c r="A58" s="31"/>
      <c r="B58" s="31">
        <v>33</v>
      </c>
      <c r="C58" s="31"/>
      <c r="D58" s="31">
        <v>33</v>
      </c>
      <c r="E58" s="254"/>
      <c r="F58" s="31">
        <v>42</v>
      </c>
      <c r="G58" s="54" t="s">
        <v>137</v>
      </c>
      <c r="H58" s="236" t="s">
        <v>138</v>
      </c>
      <c r="I58" s="237"/>
      <c r="J58" s="237"/>
      <c r="K58" s="238"/>
      <c r="L58" s="82" t="s">
        <v>139</v>
      </c>
      <c r="M58" s="14" t="s">
        <v>65</v>
      </c>
      <c r="N58" s="180">
        <f>IF(N53=0,0,N57*N23/(12*N53))</f>
        <v>0</v>
      </c>
      <c r="O58" s="180">
        <f>IF(O53=0,0,O57*O23/(12*O53))</f>
        <v>0</v>
      </c>
      <c r="P58" s="180">
        <f>IF(P53=0,0,P57*P23/(12*P53))</f>
        <v>0</v>
      </c>
      <c r="Q58" s="180">
        <f>IF(Q53=0,0,Q57*Q23/(12*Q53))</f>
        <v>0</v>
      </c>
    </row>
    <row r="59" spans="1:17" s="6" customFormat="1" ht="18.75" customHeight="1" x14ac:dyDescent="0.25">
      <c r="A59" s="31"/>
      <c r="B59" s="31">
        <v>34</v>
      </c>
      <c r="C59" s="31"/>
      <c r="D59" s="31">
        <v>34</v>
      </c>
      <c r="E59" s="254"/>
      <c r="F59" s="31">
        <v>43</v>
      </c>
      <c r="G59" s="47" t="s">
        <v>140</v>
      </c>
      <c r="H59" s="236" t="s">
        <v>141</v>
      </c>
      <c r="I59" s="237"/>
      <c r="J59" s="237"/>
      <c r="K59" s="238"/>
      <c r="L59" s="41"/>
      <c r="M59" s="10" t="s">
        <v>65</v>
      </c>
      <c r="N59" s="155"/>
      <c r="O59" s="156"/>
      <c r="P59" s="156"/>
      <c r="Q59" s="156"/>
    </row>
    <row r="60" spans="1:17" s="6" customFormat="1" ht="51.75" customHeight="1" x14ac:dyDescent="0.25">
      <c r="A60" s="31"/>
      <c r="B60" s="31">
        <v>35</v>
      </c>
      <c r="C60" s="31"/>
      <c r="D60" s="31">
        <v>35</v>
      </c>
      <c r="E60" s="254"/>
      <c r="F60" s="31">
        <v>44</v>
      </c>
      <c r="G60" s="55" t="s">
        <v>218</v>
      </c>
      <c r="H60" s="233" t="s">
        <v>165</v>
      </c>
      <c r="I60" s="234"/>
      <c r="J60" s="234"/>
      <c r="K60" s="235"/>
      <c r="L60" s="41"/>
      <c r="M60" s="10"/>
      <c r="N60" s="144"/>
      <c r="O60" s="145"/>
      <c r="P60" s="145"/>
      <c r="Q60" s="145"/>
    </row>
    <row r="61" spans="1:17" s="6" customFormat="1" ht="30" customHeight="1" x14ac:dyDescent="0.25">
      <c r="A61" s="31"/>
      <c r="B61" s="31">
        <v>36</v>
      </c>
      <c r="C61" s="31"/>
      <c r="D61" s="31">
        <v>36</v>
      </c>
      <c r="E61" s="254"/>
      <c r="F61" s="31">
        <v>45</v>
      </c>
      <c r="G61" s="47" t="s">
        <v>173</v>
      </c>
      <c r="H61" s="233" t="s">
        <v>66</v>
      </c>
      <c r="I61" s="234"/>
      <c r="J61" s="234"/>
      <c r="K61" s="235"/>
      <c r="L61" s="41" t="s">
        <v>142</v>
      </c>
      <c r="M61" s="10"/>
      <c r="N61" s="160">
        <f>IF(N56=0,0,N59*N52*N57/(N56*N60))</f>
        <v>0</v>
      </c>
      <c r="O61" s="160">
        <f t="shared" ref="O61:Q61" si="14">IF(O56=0,0,O59*O52*O57/(O56*O60))</f>
        <v>0</v>
      </c>
      <c r="P61" s="160">
        <f t="shared" si="14"/>
        <v>0</v>
      </c>
      <c r="Q61" s="160">
        <f t="shared" si="14"/>
        <v>0</v>
      </c>
    </row>
    <row r="62" spans="1:17" s="6" customFormat="1" ht="30" customHeight="1" x14ac:dyDescent="0.25">
      <c r="A62" s="31"/>
      <c r="B62" s="31">
        <v>37</v>
      </c>
      <c r="C62" s="31"/>
      <c r="D62" s="31">
        <v>37</v>
      </c>
      <c r="E62" s="254"/>
      <c r="F62" s="31">
        <v>46</v>
      </c>
      <c r="G62" s="14" t="s">
        <v>147</v>
      </c>
      <c r="H62" s="214" t="s">
        <v>67</v>
      </c>
      <c r="I62" s="215"/>
      <c r="J62" s="215"/>
      <c r="K62" s="215"/>
      <c r="L62" s="41"/>
      <c r="M62" s="10" t="s">
        <v>143</v>
      </c>
      <c r="N62" s="157">
        <v>0</v>
      </c>
      <c r="O62" s="157">
        <v>0</v>
      </c>
      <c r="P62" s="157">
        <v>0</v>
      </c>
      <c r="Q62" s="157">
        <v>0</v>
      </c>
    </row>
    <row r="63" spans="1:17" s="6" customFormat="1" ht="18.75" customHeight="1" x14ac:dyDescent="0.25">
      <c r="A63" s="31"/>
      <c r="B63" s="31">
        <v>38</v>
      </c>
      <c r="C63" s="31"/>
      <c r="D63" s="31">
        <v>38</v>
      </c>
      <c r="E63" s="254"/>
      <c r="F63" s="60">
        <v>47</v>
      </c>
      <c r="G63" s="14" t="s">
        <v>172</v>
      </c>
      <c r="H63" s="208" t="s">
        <v>164</v>
      </c>
      <c r="I63" s="209"/>
      <c r="J63" s="209"/>
      <c r="K63" s="209"/>
      <c r="L63" s="59" t="s">
        <v>149</v>
      </c>
      <c r="M63" s="10" t="s">
        <v>143</v>
      </c>
      <c r="N63" s="158">
        <f xml:space="preserve"> IF(N61=0,0,N17*(1/N61 + N62))</f>
        <v>0</v>
      </c>
      <c r="O63" s="158">
        <f xml:space="preserve"> IF(O61=0,0,O17*(1/O61 + O62))</f>
        <v>0</v>
      </c>
      <c r="P63" s="158">
        <f xml:space="preserve"> IF(P61=0,0,P17*(1/P61 + P62))</f>
        <v>0</v>
      </c>
      <c r="Q63" s="158">
        <f xml:space="preserve"> IF(Q61=0,0,Q17*(1/Q61 + Q62))</f>
        <v>0</v>
      </c>
    </row>
    <row r="64" spans="1:17" s="6" customFormat="1" ht="33" customHeight="1" x14ac:dyDescent="0.25">
      <c r="A64" s="30"/>
      <c r="B64" s="30">
        <v>39</v>
      </c>
      <c r="C64" s="30"/>
      <c r="D64" s="42">
        <v>39</v>
      </c>
      <c r="E64" s="255"/>
      <c r="F64" s="30">
        <v>48</v>
      </c>
      <c r="G64" s="61" t="s">
        <v>148</v>
      </c>
      <c r="H64" s="205" t="s">
        <v>239</v>
      </c>
      <c r="I64" s="206"/>
      <c r="J64" s="206"/>
      <c r="K64" s="207"/>
      <c r="L64" s="84"/>
      <c r="M64" s="10" t="s">
        <v>143</v>
      </c>
      <c r="N64" s="155"/>
      <c r="O64" s="156"/>
      <c r="P64" s="156"/>
      <c r="Q64" s="156"/>
    </row>
    <row r="65" spans="1:17" s="89" customFormat="1" ht="30" customHeight="1" x14ac:dyDescent="0.25">
      <c r="A65" s="188"/>
      <c r="B65" s="186">
        <v>40</v>
      </c>
      <c r="C65" s="188"/>
      <c r="D65" s="186">
        <v>40</v>
      </c>
      <c r="E65" s="90"/>
      <c r="F65" s="137">
        <v>49</v>
      </c>
      <c r="G65" s="106" t="s">
        <v>42</v>
      </c>
      <c r="H65" s="294" t="s">
        <v>230</v>
      </c>
      <c r="I65" s="295"/>
      <c r="J65" s="295"/>
      <c r="K65" s="295"/>
      <c r="L65" s="178" t="str">
        <f>IF($L6="Choose"," ",IF($L6 = "Single Tube Steam",$L6,"For Water Coils"))</f>
        <v xml:space="preserve"> </v>
      </c>
      <c r="M65" s="87" t="s">
        <v>143</v>
      </c>
      <c r="N65" s="177">
        <f>IF($L6="Single Tube Steam",N67,N66)</f>
        <v>0</v>
      </c>
      <c r="O65" s="177">
        <f t="shared" ref="O65:Q65" si="15">IF($L6="Single Tube Steam",O67,O66)</f>
        <v>0</v>
      </c>
      <c r="P65" s="177">
        <f t="shared" si="15"/>
        <v>0</v>
      </c>
      <c r="Q65" s="177">
        <f t="shared" si="15"/>
        <v>0</v>
      </c>
    </row>
    <row r="66" spans="1:17" s="89" customFormat="1" ht="18" customHeight="1" x14ac:dyDescent="0.25">
      <c r="A66" s="189"/>
      <c r="B66" s="187"/>
      <c r="C66" s="189"/>
      <c r="D66" s="187"/>
      <c r="E66" s="90"/>
      <c r="F66" s="77"/>
      <c r="G66" s="190"/>
      <c r="H66" s="333" t="s">
        <v>231</v>
      </c>
      <c r="I66" s="334"/>
      <c r="J66" s="334"/>
      <c r="K66" s="335"/>
      <c r="L66" s="176"/>
      <c r="M66" s="87" t="s">
        <v>143</v>
      </c>
      <c r="N66" s="159">
        <f xml:space="preserve"> N63 + N64</f>
        <v>0</v>
      </c>
      <c r="O66" s="159">
        <f xml:space="preserve"> O63 + O64</f>
        <v>0</v>
      </c>
      <c r="P66" s="159">
        <f xml:space="preserve"> P63 + P64</f>
        <v>0</v>
      </c>
      <c r="Q66" s="159">
        <f xml:space="preserve"> Q63 + Q64</f>
        <v>0</v>
      </c>
    </row>
    <row r="67" spans="1:17" s="89" customFormat="1" ht="18" customHeight="1" x14ac:dyDescent="0.25">
      <c r="A67" s="137">
        <v>27</v>
      </c>
      <c r="B67" s="137"/>
      <c r="C67" s="137">
        <v>28</v>
      </c>
      <c r="D67" s="137"/>
      <c r="E67" s="90"/>
      <c r="F67" s="125"/>
      <c r="G67" s="191"/>
      <c r="H67" s="333" t="s">
        <v>240</v>
      </c>
      <c r="I67" s="334"/>
      <c r="J67" s="334"/>
      <c r="K67" s="335"/>
      <c r="L67" s="175"/>
      <c r="M67" s="87" t="s">
        <v>143</v>
      </c>
      <c r="N67" s="155"/>
      <c r="O67" s="155"/>
      <c r="P67" s="155"/>
      <c r="Q67" s="155"/>
    </row>
    <row r="68" spans="1:17" s="6" customFormat="1" ht="18.75" customHeight="1" x14ac:dyDescent="0.25">
      <c r="A68" s="9"/>
      <c r="B68" s="31"/>
      <c r="C68" s="31">
        <v>29</v>
      </c>
      <c r="D68" s="31">
        <v>41</v>
      </c>
      <c r="E68" s="254"/>
      <c r="F68" s="30">
        <v>50</v>
      </c>
      <c r="G68" s="106" t="s">
        <v>177</v>
      </c>
      <c r="H68" s="211" t="s">
        <v>151</v>
      </c>
      <c r="I68" s="212"/>
      <c r="J68" s="212"/>
      <c r="K68" s="213"/>
      <c r="L68" s="111" t="s">
        <v>193</v>
      </c>
      <c r="M68" s="1"/>
      <c r="N68" s="165">
        <f>IF(N30*N65=0,0,N22/(4.5*N29*N30*N65))</f>
        <v>0</v>
      </c>
      <c r="O68" s="165">
        <f t="shared" ref="O68:Q68" si="16">IF(O30*O65=0,0,O22/(4.5*O29*O30*O65))</f>
        <v>0</v>
      </c>
      <c r="P68" s="165">
        <f t="shared" si="16"/>
        <v>0</v>
      </c>
      <c r="Q68" s="165">
        <f t="shared" si="16"/>
        <v>0</v>
      </c>
    </row>
    <row r="69" spans="1:17" s="6" customFormat="1" ht="30" customHeight="1" x14ac:dyDescent="0.25">
      <c r="A69" s="338">
        <v>28</v>
      </c>
      <c r="B69" s="201">
        <v>41</v>
      </c>
      <c r="C69" s="201">
        <v>30</v>
      </c>
      <c r="D69" s="201">
        <v>42</v>
      </c>
      <c r="E69" s="254"/>
      <c r="F69" s="201">
        <v>51</v>
      </c>
      <c r="G69" s="341" t="s">
        <v>43</v>
      </c>
      <c r="H69" s="261" t="s">
        <v>150</v>
      </c>
      <c r="I69" s="262"/>
      <c r="J69" s="262"/>
      <c r="K69" s="263"/>
      <c r="L69" s="179"/>
      <c r="M69" s="1"/>
      <c r="N69" s="183"/>
      <c r="O69" s="184"/>
      <c r="P69" s="184"/>
      <c r="Q69" s="185"/>
    </row>
    <row r="70" spans="1:17" s="6" customFormat="1" ht="15" customHeight="1" x14ac:dyDescent="0.2">
      <c r="A70" s="339"/>
      <c r="B70" s="268"/>
      <c r="C70" s="268"/>
      <c r="D70" s="268"/>
      <c r="E70" s="254"/>
      <c r="F70" s="268"/>
      <c r="G70" s="342"/>
      <c r="H70" s="116"/>
      <c r="I70" s="324" t="s">
        <v>210</v>
      </c>
      <c r="J70" s="324"/>
      <c r="K70" s="325"/>
      <c r="L70" s="50" t="s">
        <v>200</v>
      </c>
      <c r="M70" s="1"/>
      <c r="N70" s="161">
        <v>0</v>
      </c>
      <c r="O70" s="162">
        <v>0</v>
      </c>
      <c r="P70" s="162">
        <v>0</v>
      </c>
      <c r="Q70" s="162">
        <v>0</v>
      </c>
    </row>
    <row r="71" spans="1:17" s="6" customFormat="1" ht="15" customHeight="1" x14ac:dyDescent="0.2">
      <c r="A71" s="340"/>
      <c r="B71" s="203"/>
      <c r="C71" s="203"/>
      <c r="D71" s="203"/>
      <c r="E71" s="254"/>
      <c r="F71" s="203"/>
      <c r="G71" s="343"/>
      <c r="H71" s="117"/>
      <c r="I71" s="326" t="s">
        <v>211</v>
      </c>
      <c r="J71" s="326"/>
      <c r="K71" s="327"/>
      <c r="L71" s="45" t="s">
        <v>194</v>
      </c>
      <c r="M71" s="1"/>
      <c r="N71" s="161">
        <f>IF(N48=0,0,4.5*N29*N30/N48)</f>
        <v>0</v>
      </c>
      <c r="O71" s="161">
        <f>IF(O48=0,0,4.5*O29*O30/O48)</f>
        <v>0</v>
      </c>
      <c r="P71" s="161">
        <f>IF(P48=0,0,4.5*P29*P30/P48)</f>
        <v>0</v>
      </c>
      <c r="Q71" s="161">
        <f>IF(Q48=0,0,4.5*Q29*Q30/Q48)</f>
        <v>0</v>
      </c>
    </row>
    <row r="72" spans="1:17" s="6" customFormat="1" ht="75.95" customHeight="1" x14ac:dyDescent="0.25">
      <c r="A72" s="5"/>
      <c r="B72" s="30"/>
      <c r="C72" s="30">
        <v>31</v>
      </c>
      <c r="D72" s="30">
        <v>43</v>
      </c>
      <c r="E72" s="254"/>
      <c r="F72" s="86">
        <v>52</v>
      </c>
      <c r="G72" s="14" t="s">
        <v>44</v>
      </c>
      <c r="H72" s="328" t="s">
        <v>237</v>
      </c>
      <c r="I72" s="329"/>
      <c r="J72" s="329"/>
      <c r="K72" s="329"/>
      <c r="L72" s="330"/>
      <c r="M72" s="1"/>
      <c r="N72" s="163"/>
      <c r="O72" s="145"/>
      <c r="P72" s="145"/>
      <c r="Q72" s="145"/>
    </row>
    <row r="73" spans="1:17" s="6" customFormat="1" ht="18.75" customHeight="1" x14ac:dyDescent="0.25">
      <c r="A73" s="9"/>
      <c r="B73" s="31"/>
      <c r="C73" s="31">
        <v>32</v>
      </c>
      <c r="D73" s="31">
        <v>44</v>
      </c>
      <c r="E73" s="254"/>
      <c r="F73" s="30">
        <v>53</v>
      </c>
      <c r="G73" s="14" t="s">
        <v>154</v>
      </c>
      <c r="H73" s="208" t="s">
        <v>46</v>
      </c>
      <c r="I73" s="209"/>
      <c r="J73" s="209"/>
      <c r="K73" s="210"/>
      <c r="L73" s="78" t="s">
        <v>155</v>
      </c>
      <c r="M73" s="8" t="s">
        <v>80</v>
      </c>
      <c r="N73" s="164">
        <f>IF(N72=0,0,(4.5*N29*N30*N72*N41))</f>
        <v>0</v>
      </c>
      <c r="O73" s="164">
        <f>IF(O72=0,0,(4.5*O29*O30*O72*O41))</f>
        <v>0</v>
      </c>
      <c r="P73" s="164">
        <f>IF(P72=0,0,(4.5*P29*P30*P72*P41))</f>
        <v>0</v>
      </c>
      <c r="Q73" s="164">
        <f>IF(Q72=0,0,(4.5*Q29*Q30*Q72*Q41))</f>
        <v>0</v>
      </c>
    </row>
    <row r="74" spans="1:17" s="6" customFormat="1" ht="18.75" customHeight="1" x14ac:dyDescent="0.25">
      <c r="A74" s="182"/>
      <c r="B74" s="30"/>
      <c r="C74" s="30"/>
      <c r="D74" s="30">
        <v>45</v>
      </c>
      <c r="E74" s="255"/>
      <c r="F74" s="125">
        <v>54</v>
      </c>
      <c r="G74" s="39" t="s">
        <v>176</v>
      </c>
      <c r="H74" s="270" t="s">
        <v>49</v>
      </c>
      <c r="I74" s="270"/>
      <c r="J74" s="270"/>
      <c r="K74" s="270"/>
      <c r="L74" s="78" t="s">
        <v>192</v>
      </c>
      <c r="M74" s="15" t="s">
        <v>72</v>
      </c>
      <c r="N74" s="131">
        <f>IF(N48=0,0,(IF(N40="",N73/N48,N40/N48)))</f>
        <v>0</v>
      </c>
      <c r="O74" s="131">
        <f>IF(O48=0,0,(IF(O40="",O73/O48,O40/O48)))</f>
        <v>0</v>
      </c>
      <c r="P74" s="131">
        <f>IF(P48=0,0,(IF(P40="",P73/P48,P40/P48)))</f>
        <v>0</v>
      </c>
      <c r="Q74" s="131">
        <f>IF(Q48=0,0,(IF(Q40="",Q73/Q48,Q40/Q48)))</f>
        <v>0</v>
      </c>
    </row>
    <row r="75" spans="1:17" s="6" customFormat="1" ht="75.95" customHeight="1" x14ac:dyDescent="0.25">
      <c r="A75" s="19"/>
      <c r="B75" s="94"/>
      <c r="C75" s="94"/>
      <c r="D75" s="94">
        <v>46</v>
      </c>
      <c r="E75" s="253" t="s">
        <v>69</v>
      </c>
      <c r="F75" s="36">
        <v>55</v>
      </c>
      <c r="G75" s="44" t="s">
        <v>178</v>
      </c>
      <c r="H75" s="221" t="s">
        <v>204</v>
      </c>
      <c r="I75" s="222"/>
      <c r="J75" s="222"/>
      <c r="K75" s="223"/>
      <c r="L75" s="128"/>
      <c r="M75" s="15" t="s">
        <v>72</v>
      </c>
      <c r="N75" s="161">
        <f>IF($L6="Thermal Counterflow Hot Water",(N34-0.5*N74),(N34+0.5*N74))</f>
        <v>0</v>
      </c>
      <c r="O75" s="161">
        <f>IF($L6="Hot Water",(O34-0.5*O74),(O34+0.5*O74))</f>
        <v>0</v>
      </c>
      <c r="P75" s="161">
        <f>IF($L6="Thermal Counterflow Hot Water",(P34-0.5*P74),(P34+0.5*P74))</f>
        <v>0</v>
      </c>
      <c r="Q75" s="161">
        <f>IF($L6="Thermal Counterflow Hot Water",(Q34-0.5*Q74),(Q34+0.5*Q74))</f>
        <v>0</v>
      </c>
    </row>
    <row r="76" spans="1:17" s="6" customFormat="1" ht="18" customHeight="1" x14ac:dyDescent="0.25">
      <c r="A76" s="19">
        <v>29</v>
      </c>
      <c r="B76" s="94">
        <v>42</v>
      </c>
      <c r="C76" s="94">
        <v>33</v>
      </c>
      <c r="D76" s="94">
        <v>47</v>
      </c>
      <c r="E76" s="254"/>
      <c r="F76" s="36">
        <v>56</v>
      </c>
      <c r="G76" s="14" t="s">
        <v>156</v>
      </c>
      <c r="H76" s="205" t="s">
        <v>47</v>
      </c>
      <c r="I76" s="206"/>
      <c r="J76" s="206"/>
      <c r="K76" s="207"/>
      <c r="L76" s="41" t="s">
        <v>157</v>
      </c>
      <c r="M76" s="15" t="s">
        <v>72</v>
      </c>
      <c r="N76" s="131">
        <f>IF(N29*N30=0,0,(IF(N40="",N73/(4.5*N29*N30),N40/(4.5*N29*N30))))</f>
        <v>0</v>
      </c>
      <c r="O76" s="131">
        <f>IF(O29*O30=0,0,(IF(O40="",O73/(4.5*O29*O30),O40/(4.5*O29*O30))))</f>
        <v>0</v>
      </c>
      <c r="P76" s="131">
        <f>IF(P29*P30=0,0,(IF(P40="",P73/(4.5*P29*P30),P40/(4.5*P29*P30))))</f>
        <v>0</v>
      </c>
      <c r="Q76" s="131">
        <f>IF(Q29*Q30=0,0,(IF(Q40="",Q73/(4.5*Q29*Q30),Q40/(4.5*Q29*Q30))))</f>
        <v>0</v>
      </c>
    </row>
    <row r="77" spans="1:17" s="6" customFormat="1" ht="18.75" customHeight="1" x14ac:dyDescent="0.25">
      <c r="A77" s="19">
        <v>30</v>
      </c>
      <c r="B77" s="94">
        <v>43</v>
      </c>
      <c r="C77" s="94"/>
      <c r="D77" s="94"/>
      <c r="E77" s="254"/>
      <c r="F77" s="36">
        <v>57</v>
      </c>
      <c r="G77" s="39" t="s">
        <v>44</v>
      </c>
      <c r="H77" s="221" t="s">
        <v>45</v>
      </c>
      <c r="I77" s="222"/>
      <c r="J77" s="222"/>
      <c r="K77" s="223"/>
      <c r="L77" s="68" t="s">
        <v>161</v>
      </c>
      <c r="M77" s="8"/>
      <c r="N77" s="165">
        <f>IF(N41=0,0,IF(N40=0,0,N76/N41))</f>
        <v>0</v>
      </c>
      <c r="O77" s="165">
        <f>IF(O41=0,0,IF(O40=0,0,O76/O41))</f>
        <v>0</v>
      </c>
      <c r="P77" s="165">
        <f>IF(P41=0,0,IF(P40=0,0,P76/P41))</f>
        <v>0</v>
      </c>
      <c r="Q77" s="165">
        <f>IF(Q41=0,0,IF(Q40=0,0,Q76/Q41))</f>
        <v>0</v>
      </c>
    </row>
    <row r="78" spans="1:17" s="6" customFormat="1" ht="22.5" customHeight="1" x14ac:dyDescent="0.25">
      <c r="A78" s="20">
        <v>31</v>
      </c>
      <c r="B78" s="95">
        <v>44</v>
      </c>
      <c r="C78" s="95"/>
      <c r="D78" s="95"/>
      <c r="E78" s="254"/>
      <c r="F78" s="303">
        <v>58</v>
      </c>
      <c r="G78" s="40" t="s">
        <v>177</v>
      </c>
      <c r="H78" s="208" t="s">
        <v>238</v>
      </c>
      <c r="I78" s="209"/>
      <c r="J78" s="209"/>
      <c r="K78" s="210"/>
      <c r="L78" s="85" t="s">
        <v>195</v>
      </c>
      <c r="M78" s="17"/>
      <c r="N78" s="145"/>
      <c r="O78" s="145"/>
      <c r="P78" s="145"/>
      <c r="Q78" s="145"/>
    </row>
    <row r="79" spans="1:17" s="6" customFormat="1" ht="22.5" customHeight="1" x14ac:dyDescent="0.25">
      <c r="A79" s="21"/>
      <c r="B79" s="96"/>
      <c r="C79" s="96"/>
      <c r="D79" s="96"/>
      <c r="E79" s="254"/>
      <c r="F79" s="304"/>
      <c r="G79" s="34"/>
      <c r="H79" s="227"/>
      <c r="I79" s="228"/>
      <c r="J79" s="228"/>
      <c r="K79" s="229"/>
      <c r="L79" s="35"/>
      <c r="M79" s="16"/>
      <c r="N79" s="306"/>
      <c r="O79" s="307"/>
      <c r="P79" s="307"/>
      <c r="Q79" s="308"/>
    </row>
    <row r="80" spans="1:17" s="6" customFormat="1" ht="30" customHeight="1" x14ac:dyDescent="0.25">
      <c r="A80" s="22"/>
      <c r="B80" s="97"/>
      <c r="C80" s="97"/>
      <c r="D80" s="97"/>
      <c r="E80" s="254"/>
      <c r="F80" s="305"/>
      <c r="G80" s="39"/>
      <c r="H80" s="230"/>
      <c r="I80" s="231"/>
      <c r="J80" s="231"/>
      <c r="K80" s="232"/>
      <c r="L80" s="68"/>
      <c r="M80" s="8"/>
      <c r="N80" s="309"/>
      <c r="O80" s="310"/>
      <c r="P80" s="310"/>
      <c r="Q80" s="311"/>
    </row>
    <row r="81" spans="1:17" s="6" customFormat="1" ht="18.75" customHeight="1" x14ac:dyDescent="0.25">
      <c r="A81" s="22"/>
      <c r="B81" s="97">
        <v>45</v>
      </c>
      <c r="C81" s="97"/>
      <c r="D81" s="97">
        <v>48</v>
      </c>
      <c r="E81" s="103"/>
      <c r="F81" s="36">
        <v>59</v>
      </c>
      <c r="G81" s="40" t="s">
        <v>166</v>
      </c>
      <c r="H81" s="233" t="s">
        <v>167</v>
      </c>
      <c r="I81" s="234"/>
      <c r="J81" s="234"/>
      <c r="K81" s="235"/>
      <c r="L81" s="80" t="s">
        <v>168</v>
      </c>
      <c r="M81" s="14" t="s">
        <v>102</v>
      </c>
      <c r="N81" s="161" t="str">
        <f>IF(OR($L6="Choose",$L6="Single Tube Steam")," ",IF(AND($N8 = "Solve for Capacity",N68=0),0,N76/N68))</f>
        <v xml:space="preserve"> </v>
      </c>
      <c r="O81" s="161" t="str">
        <f>IF(OR($L6="Choose",$L6="Single Tube Steam")," ",IF(AND($N8 = "Solve for Capacity",O78=0),O76/O68,O76/O78))</f>
        <v xml:space="preserve"> </v>
      </c>
      <c r="P81" s="161" t="str">
        <f t="shared" ref="P81:Q81" si="17">IF(OR($L6="Choose",$L6="Single Tube Steam")," ",IF(AND($N8 = "Solve for Capacity",P68=0),0,P76/P68))</f>
        <v xml:space="preserve"> </v>
      </c>
      <c r="Q81" s="161" t="str">
        <f t="shared" si="17"/>
        <v xml:space="preserve"> </v>
      </c>
    </row>
    <row r="82" spans="1:17" s="6" customFormat="1" ht="18.75" customHeight="1" x14ac:dyDescent="0.25">
      <c r="A82" s="22"/>
      <c r="B82" s="97">
        <v>46</v>
      </c>
      <c r="C82" s="97"/>
      <c r="D82" s="97">
        <v>49</v>
      </c>
      <c r="E82" s="103"/>
      <c r="F82" s="36">
        <v>60</v>
      </c>
      <c r="G82" s="47" t="s">
        <v>144</v>
      </c>
      <c r="H82" s="236" t="s">
        <v>174</v>
      </c>
      <c r="I82" s="237"/>
      <c r="J82" s="237"/>
      <c r="K82" s="238"/>
      <c r="L82" s="41" t="s">
        <v>236</v>
      </c>
      <c r="M82" s="14" t="s">
        <v>102</v>
      </c>
      <c r="N82" s="131">
        <f>IF(N65=0,0,IF($L6= "Hot Water",(N75 - (N63/N65)*N81),N75 + (N63/N65)*N81))</f>
        <v>0</v>
      </c>
      <c r="O82" s="131">
        <f>IF(O65=0,0,IF($L6= "Hot Water",(O75 - (O63/O65)*O81),O75 + (O63/O65)*O81))</f>
        <v>0</v>
      </c>
      <c r="P82" s="131">
        <f>IF(P65=0,0,IF($L6= "Hot Water",(P75 - (P63/P65)*P81),P75 + (P63/P65)*P81))</f>
        <v>0</v>
      </c>
      <c r="Q82" s="131">
        <f>IF(Q65=0,0,IF($L6= "Hot Water",(Q75 - (Q63/Q65)*Q81),Q75 + (Q63/Q65)*Q81))</f>
        <v>0</v>
      </c>
    </row>
    <row r="83" spans="1:17" s="6" customFormat="1" ht="18.75" customHeight="1" x14ac:dyDescent="0.25">
      <c r="A83" s="22"/>
      <c r="B83" s="97">
        <v>47</v>
      </c>
      <c r="C83" s="97"/>
      <c r="D83" s="97">
        <v>50</v>
      </c>
      <c r="E83" s="103"/>
      <c r="F83" s="36">
        <v>61</v>
      </c>
      <c r="G83" s="46" t="s">
        <v>145</v>
      </c>
      <c r="H83" s="48" t="s">
        <v>146</v>
      </c>
      <c r="I83" s="57"/>
      <c r="J83" s="57"/>
      <c r="K83" s="58"/>
      <c r="L83" s="41"/>
      <c r="M83" s="14" t="s">
        <v>125</v>
      </c>
      <c r="N83" s="163"/>
      <c r="O83" s="145"/>
      <c r="P83" s="145"/>
      <c r="Q83" s="145"/>
    </row>
    <row r="84" spans="1:17" s="6" customFormat="1" ht="60" customHeight="1" x14ac:dyDescent="0.25">
      <c r="A84" s="22"/>
      <c r="B84" s="97">
        <v>48</v>
      </c>
      <c r="C84" s="97"/>
      <c r="D84" s="97">
        <v>51</v>
      </c>
      <c r="E84" s="103"/>
      <c r="F84" s="36">
        <v>62</v>
      </c>
      <c r="G84" s="55" t="s">
        <v>219</v>
      </c>
      <c r="H84" s="233" t="s">
        <v>233</v>
      </c>
      <c r="I84" s="234"/>
      <c r="J84" s="234"/>
      <c r="K84" s="235"/>
      <c r="L84" s="41"/>
      <c r="M84" s="10"/>
      <c r="N84" s="181">
        <f>IF(N53=0,0,((N83/N53)^0.14))</f>
        <v>0</v>
      </c>
      <c r="O84" s="181">
        <f>IF(O53=0,0,((O83/O53)^0.14))</f>
        <v>0</v>
      </c>
      <c r="P84" s="181">
        <f t="shared" ref="P84:Q84" si="18">IF(P53=0,0,((P83/P53)^0.14))</f>
        <v>0</v>
      </c>
      <c r="Q84" s="181">
        <f t="shared" si="18"/>
        <v>0</v>
      </c>
    </row>
    <row r="85" spans="1:17" s="6" customFormat="1" ht="15.75" customHeight="1" x14ac:dyDescent="0.25">
      <c r="A85" s="195">
        <v>32</v>
      </c>
      <c r="B85" s="198">
        <v>49</v>
      </c>
      <c r="C85" s="198">
        <v>34</v>
      </c>
      <c r="D85" s="198">
        <v>52</v>
      </c>
      <c r="E85" s="103"/>
      <c r="F85" s="188">
        <v>63</v>
      </c>
      <c r="G85" s="40" t="s">
        <v>158</v>
      </c>
      <c r="H85" s="221" t="s">
        <v>48</v>
      </c>
      <c r="I85" s="259"/>
      <c r="J85" s="259"/>
      <c r="K85" s="260"/>
      <c r="L85" s="67"/>
      <c r="M85" s="17" t="s">
        <v>72</v>
      </c>
      <c r="N85" s="162">
        <f>IF($L6="Choose",0,IF(OR($L6="Hot Water",$L6= "Single Tube Steam"),N86,N87))</f>
        <v>0</v>
      </c>
      <c r="O85" s="162">
        <f>IF($L6="Choose",0,IF(OR($L6="Hot Water",$L6= "Single Tube Steam"),O86,O87))</f>
        <v>0</v>
      </c>
      <c r="P85" s="162">
        <f>IF($L6="Choose",0,IF(OR($L6="Hot Water",$L6= "Single Tube Steam"),P86,P87))</f>
        <v>0</v>
      </c>
      <c r="Q85" s="162">
        <f>IF($L6="Choose",0,IF(OR($L6="Hot Water",$L6= "Single Tube Steam"),Q86,Q87))</f>
        <v>0</v>
      </c>
    </row>
    <row r="86" spans="1:17" s="6" customFormat="1" ht="15.75" customHeight="1" x14ac:dyDescent="0.25">
      <c r="A86" s="196"/>
      <c r="B86" s="199"/>
      <c r="C86" s="199"/>
      <c r="D86" s="199"/>
      <c r="E86" s="103"/>
      <c r="F86" s="267"/>
      <c r="G86" s="34"/>
      <c r="H86" s="224" t="s">
        <v>159</v>
      </c>
      <c r="I86" s="225"/>
      <c r="J86" s="225"/>
      <c r="K86" s="226"/>
      <c r="L86" s="112"/>
      <c r="M86" s="18"/>
      <c r="N86" s="166">
        <f>N32+N76</f>
        <v>0</v>
      </c>
      <c r="O86" s="166">
        <f>O32+O76</f>
        <v>0</v>
      </c>
      <c r="P86" s="166">
        <f>P32+P76</f>
        <v>0</v>
      </c>
      <c r="Q86" s="166">
        <f>Q32+Q76</f>
        <v>0</v>
      </c>
    </row>
    <row r="87" spans="1:17" s="6" customFormat="1" ht="15.75" customHeight="1" x14ac:dyDescent="0.25">
      <c r="A87" s="197"/>
      <c r="B87" s="200"/>
      <c r="C87" s="200"/>
      <c r="D87" s="200"/>
      <c r="E87" s="103"/>
      <c r="F87" s="189"/>
      <c r="G87" s="39"/>
      <c r="H87" s="224" t="s">
        <v>160</v>
      </c>
      <c r="I87" s="225"/>
      <c r="J87" s="225"/>
      <c r="K87" s="226"/>
      <c r="L87" s="38"/>
      <c r="M87" s="8"/>
      <c r="N87" s="161">
        <f>N32-N76</f>
        <v>0</v>
      </c>
      <c r="O87" s="161">
        <f>O32-O76</f>
        <v>0</v>
      </c>
      <c r="P87" s="161">
        <f>P32-P76</f>
        <v>0</v>
      </c>
      <c r="Q87" s="161">
        <f>Q32-Q76</f>
        <v>0</v>
      </c>
    </row>
    <row r="88" spans="1:17" s="6" customFormat="1" ht="15.75" customHeight="1" x14ac:dyDescent="0.25">
      <c r="A88" s="195"/>
      <c r="B88" s="198">
        <v>50</v>
      </c>
      <c r="C88" s="198"/>
      <c r="D88" s="198">
        <v>53</v>
      </c>
      <c r="E88" s="103"/>
      <c r="F88" s="201">
        <v>64</v>
      </c>
      <c r="G88" s="34" t="s">
        <v>179</v>
      </c>
      <c r="H88" s="221" t="s">
        <v>215</v>
      </c>
      <c r="I88" s="222"/>
      <c r="J88" s="222"/>
      <c r="K88" s="223"/>
      <c r="L88" s="35"/>
      <c r="M88" s="17" t="s">
        <v>72</v>
      </c>
      <c r="N88" s="167">
        <f>IF($L6="Choose",0,IF($L6="Hot Water",N89,N90))</f>
        <v>0</v>
      </c>
      <c r="O88" s="167">
        <f>IF($L6="Choose",0,IF($L6="Hot Water",O89,O90))</f>
        <v>0</v>
      </c>
      <c r="P88" s="167">
        <f>IF($L6="Choose",0,IF($L6="Hot Water",P89,P90))</f>
        <v>0</v>
      </c>
      <c r="Q88" s="167">
        <f>IF($L6="Choose",0,IF($L6="Hot Water",Q89,Q90))</f>
        <v>0</v>
      </c>
    </row>
    <row r="89" spans="1:17" s="6" customFormat="1" ht="15.75" customHeight="1" x14ac:dyDescent="0.25">
      <c r="A89" s="196"/>
      <c r="B89" s="199"/>
      <c r="C89" s="199"/>
      <c r="D89" s="199"/>
      <c r="E89" s="103"/>
      <c r="F89" s="202"/>
      <c r="G89" s="34"/>
      <c r="H89" s="130"/>
      <c r="I89" s="239" t="s">
        <v>214</v>
      </c>
      <c r="J89" s="240"/>
      <c r="K89" s="240"/>
      <c r="L89" s="134"/>
      <c r="M89" s="18"/>
      <c r="N89" s="168">
        <f>IF(N40="",(N34-N74),(N34 -N49))</f>
        <v>0</v>
      </c>
      <c r="O89" s="167">
        <f>IF(O40="",(O34-O74),(O34 -O49))</f>
        <v>0</v>
      </c>
      <c r="P89" s="167">
        <f>IF(P40="",(P34-P74),(P34 -P49))</f>
        <v>0</v>
      </c>
      <c r="Q89" s="167">
        <f>IF(Q40="",(Q34-Q74),(Q34 -Q49))</f>
        <v>0</v>
      </c>
    </row>
    <row r="90" spans="1:17" s="6" customFormat="1" ht="15.75" customHeight="1" x14ac:dyDescent="0.25">
      <c r="A90" s="197"/>
      <c r="B90" s="200"/>
      <c r="C90" s="200"/>
      <c r="D90" s="200"/>
      <c r="E90" s="103"/>
      <c r="F90" s="203"/>
      <c r="G90" s="129"/>
      <c r="H90" s="123"/>
      <c r="I90" s="239" t="s">
        <v>232</v>
      </c>
      <c r="J90" s="240"/>
      <c r="K90" s="241"/>
      <c r="L90" s="83"/>
      <c r="M90" s="8"/>
      <c r="N90" s="169">
        <f>IF(N40="",(N34 + N74),(N34 + N49))</f>
        <v>0</v>
      </c>
      <c r="O90" s="166">
        <f>IF(O40="",(O34 + O74),(O34 + O49))</f>
        <v>0</v>
      </c>
      <c r="P90" s="166">
        <f>IF(P40="",(P34 + P74),(P34 + P49))</f>
        <v>0</v>
      </c>
      <c r="Q90" s="166">
        <f>IF(Q40="",(Q34 + Q74),(Q34 + Q49))</f>
        <v>0</v>
      </c>
    </row>
    <row r="91" spans="1:17" s="6" customFormat="1" ht="21.95" customHeight="1" x14ac:dyDescent="0.25">
      <c r="A91" s="22">
        <v>33</v>
      </c>
      <c r="B91" s="97">
        <v>51</v>
      </c>
      <c r="C91" s="97"/>
      <c r="D91" s="97"/>
      <c r="E91" s="104"/>
      <c r="F91" s="36">
        <v>65</v>
      </c>
      <c r="G91" s="39" t="s">
        <v>180</v>
      </c>
      <c r="H91" s="269" t="s">
        <v>50</v>
      </c>
      <c r="I91" s="240"/>
      <c r="J91" s="240"/>
      <c r="K91" s="241"/>
      <c r="L91" s="154" t="s">
        <v>225</v>
      </c>
      <c r="M91" s="8"/>
      <c r="N91" s="162">
        <f>IF(N76=0,0,IF($N8="Solve for Capacity",0,(N40)*N66*N78)/((N21)*N16*N76))</f>
        <v>0</v>
      </c>
      <c r="O91" s="162">
        <f>IF(O76=0,0,IF($N8="Solve for Capacity",0,(O40)*O66*O78)/((O21)*O16*O76))</f>
        <v>0</v>
      </c>
      <c r="P91" s="162">
        <f>IF(P76=0,0,IF($N8="Solve for Capacity",0,(P40)*P66*P78)/((P21)*P16*P76))</f>
        <v>0</v>
      </c>
      <c r="Q91" s="162">
        <f>IF(Q76=0,0,IF($N8="Solve for Capacity",0,(Q40)*Q66*Q78)/((Q21)*Q16*Q76))</f>
        <v>0</v>
      </c>
    </row>
    <row r="92" spans="1:17" s="6" customFormat="1" ht="18" customHeight="1" x14ac:dyDescent="0.25">
      <c r="A92" s="22">
        <v>34</v>
      </c>
      <c r="B92" s="97">
        <v>52</v>
      </c>
      <c r="C92" s="97"/>
      <c r="D92" s="97"/>
      <c r="E92" s="250" t="s">
        <v>171</v>
      </c>
      <c r="F92" s="36">
        <v>66</v>
      </c>
      <c r="G92" s="39" t="s">
        <v>90</v>
      </c>
      <c r="H92" s="221" t="s">
        <v>51</v>
      </c>
      <c r="I92" s="222"/>
      <c r="J92" s="222"/>
      <c r="K92" s="223"/>
      <c r="L92" s="83"/>
      <c r="M92" s="8"/>
      <c r="N92" s="124"/>
      <c r="O92" s="114"/>
      <c r="P92" s="114"/>
      <c r="Q92" s="114"/>
    </row>
    <row r="93" spans="1:17" s="6" customFormat="1" ht="30" customHeight="1" x14ac:dyDescent="0.25">
      <c r="A93" s="22">
        <v>35</v>
      </c>
      <c r="B93" s="97">
        <v>53</v>
      </c>
      <c r="C93" s="97">
        <v>35</v>
      </c>
      <c r="D93" s="97">
        <v>54</v>
      </c>
      <c r="E93" s="251"/>
      <c r="F93" s="36">
        <v>67</v>
      </c>
      <c r="G93" s="92" t="s">
        <v>181</v>
      </c>
      <c r="H93" s="205" t="s">
        <v>241</v>
      </c>
      <c r="I93" s="206"/>
      <c r="J93" s="206"/>
      <c r="K93" s="207"/>
      <c r="L93" s="83"/>
      <c r="M93" s="1" t="s">
        <v>73</v>
      </c>
      <c r="N93" s="163"/>
      <c r="O93" s="145"/>
      <c r="P93" s="145"/>
      <c r="Q93" s="145"/>
    </row>
    <row r="94" spans="1:17" s="6" customFormat="1" ht="30" customHeight="1" x14ac:dyDescent="0.25">
      <c r="A94" s="20">
        <v>36</v>
      </c>
      <c r="B94" s="95">
        <v>54</v>
      </c>
      <c r="C94" s="95">
        <v>36</v>
      </c>
      <c r="D94" s="95">
        <v>55</v>
      </c>
      <c r="E94" s="251"/>
      <c r="F94" s="30">
        <v>68</v>
      </c>
      <c r="G94" s="14" t="s">
        <v>182</v>
      </c>
      <c r="H94" s="221" t="s">
        <v>52</v>
      </c>
      <c r="I94" s="222"/>
      <c r="J94" s="222"/>
      <c r="K94" s="223"/>
      <c r="L94" s="132" t="s">
        <v>221</v>
      </c>
      <c r="M94" s="8"/>
      <c r="N94" s="170">
        <f xml:space="preserve"> IF(N35=0,0,(460 +((N32 + N85)/2))/(N35*530/29.921))</f>
        <v>0</v>
      </c>
      <c r="O94" s="170">
        <f xml:space="preserve"> IF(O35=0,0,(460 +((O32 + O85)/2))/(O35*530/29.921))</f>
        <v>0</v>
      </c>
      <c r="P94" s="170">
        <f xml:space="preserve"> IF(P35=0,0,(460 +((P32 + P85)/2))/(P35*530/29.921))</f>
        <v>0</v>
      </c>
      <c r="Q94" s="170">
        <f xml:space="preserve"> IF(Q35=0,0,(460 +((Q32 + Q85)/2))/(Q35*530/29.921))</f>
        <v>0</v>
      </c>
    </row>
    <row r="95" spans="1:17" s="6" customFormat="1" ht="33" customHeight="1" x14ac:dyDescent="0.25">
      <c r="A95" s="19">
        <v>37</v>
      </c>
      <c r="B95" s="94">
        <v>55</v>
      </c>
      <c r="C95" s="94">
        <v>37</v>
      </c>
      <c r="D95" s="94">
        <v>56</v>
      </c>
      <c r="E95" s="252"/>
      <c r="F95" s="36">
        <v>69</v>
      </c>
      <c r="G95" s="92" t="s">
        <v>183</v>
      </c>
      <c r="H95" s="205" t="s">
        <v>202</v>
      </c>
      <c r="I95" s="206"/>
      <c r="J95" s="206"/>
      <c r="K95" s="207"/>
      <c r="L95" s="133" t="s">
        <v>201</v>
      </c>
      <c r="M95" s="49"/>
      <c r="N95" s="173">
        <f>IF($N8="Solve for Capacity",(N18*N93*N94),(N92*N93*N94))</f>
        <v>0</v>
      </c>
      <c r="O95" s="173">
        <f>IF($N8="Solve for Capacity",(O18*O93*O94),(O92*O93*O94))</f>
        <v>0</v>
      </c>
      <c r="P95" s="173">
        <f>IF($N8="Solve for Capacity",(P18*P93*P94),(P92*P93*P94))</f>
        <v>0</v>
      </c>
      <c r="Q95" s="173">
        <f>IF($N8="Solve for Capacity",(Q18*Q93*Q94),(Q92*Q93*Q94))</f>
        <v>0</v>
      </c>
    </row>
    <row r="96" spans="1:17" s="6" customFormat="1" ht="21.75" customHeight="1" x14ac:dyDescent="0.25">
      <c r="A96" s="22">
        <v>38</v>
      </c>
      <c r="B96" s="97"/>
      <c r="C96" s="94">
        <v>38</v>
      </c>
      <c r="D96" s="94"/>
      <c r="E96" s="247" t="s">
        <v>68</v>
      </c>
      <c r="F96" s="36">
        <v>70</v>
      </c>
      <c r="G96" s="39" t="s">
        <v>184</v>
      </c>
      <c r="H96" s="221" t="s">
        <v>53</v>
      </c>
      <c r="I96" s="222"/>
      <c r="J96" s="222"/>
      <c r="K96" s="223"/>
      <c r="L96" s="78" t="s">
        <v>196</v>
      </c>
      <c r="M96" s="8" t="s">
        <v>81</v>
      </c>
      <c r="N96" s="171">
        <f>IF(N46=0,0,IF($N8="Solve for Capacity",N73/(N46-N47), (N40/(N46-N47)) ))</f>
        <v>0</v>
      </c>
      <c r="O96" s="171">
        <f>IF(O46=0,0,IF($N8="Solve for Capacity",O73/(O46-O47), (O40/(O46-O47)) ))</f>
        <v>0</v>
      </c>
      <c r="P96" s="171">
        <f>IF(P46=0,0,IF($N8="Solve for Capacity",P73/(P46-P47), (P40/(P46-P47)) ))</f>
        <v>0</v>
      </c>
      <c r="Q96" s="171">
        <f>IF(Q46=0,0,IF($N8="Solve for Capacity",Q73/(Q46-Q47), (Q40/(Q46-Q47)) ))</f>
        <v>0</v>
      </c>
    </row>
    <row r="97" spans="1:17" s="6" customFormat="1" x14ac:dyDescent="0.25">
      <c r="A97" s="22">
        <v>39</v>
      </c>
      <c r="B97" s="97"/>
      <c r="C97" s="94">
        <v>39</v>
      </c>
      <c r="D97" s="94"/>
      <c r="E97" s="248"/>
      <c r="F97" s="36">
        <v>71</v>
      </c>
      <c r="G97" s="39" t="s">
        <v>185</v>
      </c>
      <c r="H97" s="221" t="s">
        <v>54</v>
      </c>
      <c r="I97" s="222"/>
      <c r="J97" s="222"/>
      <c r="K97" s="223"/>
      <c r="L97" s="78" t="s">
        <v>197</v>
      </c>
      <c r="M97" s="8" t="s">
        <v>81</v>
      </c>
      <c r="N97" s="172">
        <f>IF(N20=0,0,N96/N20)</f>
        <v>0</v>
      </c>
      <c r="O97" s="172">
        <f>IF(O20=0,0,O96/O20)</f>
        <v>0</v>
      </c>
      <c r="P97" s="172">
        <f>IF(P20=0,0,P96/P20)</f>
        <v>0</v>
      </c>
      <c r="Q97" s="172">
        <f>IF(Q20=0,0,Q96/Q20)</f>
        <v>0</v>
      </c>
    </row>
    <row r="98" spans="1:17" s="6" customFormat="1" ht="33.950000000000003" customHeight="1" x14ac:dyDescent="0.25">
      <c r="A98" s="20"/>
      <c r="B98" s="95"/>
      <c r="C98" s="95"/>
      <c r="D98" s="99"/>
      <c r="E98" s="248"/>
      <c r="F98" s="201">
        <v>72</v>
      </c>
      <c r="G98" s="40"/>
      <c r="H98" s="269" t="s">
        <v>217</v>
      </c>
      <c r="I98" s="240"/>
      <c r="J98" s="240"/>
      <c r="K98" s="240"/>
      <c r="L98" s="241"/>
      <c r="M98" s="23"/>
      <c r="N98" s="218"/>
      <c r="O98" s="219"/>
      <c r="P98" s="219"/>
      <c r="Q98" s="220"/>
    </row>
    <row r="99" spans="1:17" s="6" customFormat="1" ht="18.75" customHeight="1" x14ac:dyDescent="0.25">
      <c r="A99" s="21"/>
      <c r="B99" s="96">
        <v>56</v>
      </c>
      <c r="C99" s="96"/>
      <c r="D99" s="96">
        <v>57</v>
      </c>
      <c r="E99" s="248"/>
      <c r="F99" s="268"/>
      <c r="G99" s="78" t="s">
        <v>186</v>
      </c>
      <c r="H99" s="221" t="s">
        <v>242</v>
      </c>
      <c r="I99" s="222"/>
      <c r="J99" s="222"/>
      <c r="K99" s="223"/>
      <c r="L99" s="78" t="s">
        <v>198</v>
      </c>
      <c r="M99" s="8" t="s">
        <v>56</v>
      </c>
      <c r="N99" s="163"/>
      <c r="O99" s="163"/>
      <c r="P99" s="163"/>
      <c r="Q99" s="163"/>
    </row>
    <row r="100" spans="1:17" s="6" customFormat="1" ht="28.5" customHeight="1" x14ac:dyDescent="0.25">
      <c r="A100" s="22">
        <v>42</v>
      </c>
      <c r="B100" s="97"/>
      <c r="C100" s="97">
        <v>40</v>
      </c>
      <c r="D100" s="97"/>
      <c r="E100" s="248"/>
      <c r="F100" s="203"/>
      <c r="G100" s="101" t="s">
        <v>187</v>
      </c>
      <c r="H100" s="221" t="s">
        <v>55</v>
      </c>
      <c r="I100" s="222"/>
      <c r="J100" s="222"/>
      <c r="K100" s="223"/>
      <c r="L100" s="78" t="s">
        <v>199</v>
      </c>
      <c r="M100" s="1" t="s">
        <v>82</v>
      </c>
      <c r="N100" s="163"/>
      <c r="O100" s="145"/>
      <c r="P100" s="145"/>
      <c r="Q100" s="145"/>
    </row>
    <row r="101" spans="1:17" s="6" customFormat="1" ht="48" customHeight="1" x14ac:dyDescent="0.25">
      <c r="A101" s="22"/>
      <c r="B101" s="97">
        <v>57</v>
      </c>
      <c r="C101" s="97"/>
      <c r="D101" s="97">
        <v>58</v>
      </c>
      <c r="E101" s="248"/>
      <c r="F101" s="36">
        <v>73</v>
      </c>
      <c r="G101" s="39"/>
      <c r="H101" s="221" t="s">
        <v>243</v>
      </c>
      <c r="I101" s="222"/>
      <c r="J101" s="222"/>
      <c r="K101" s="223"/>
      <c r="L101" s="78"/>
      <c r="M101" s="1" t="s">
        <v>74</v>
      </c>
      <c r="N101" s="163"/>
      <c r="O101" s="145"/>
      <c r="P101" s="145"/>
      <c r="Q101" s="145"/>
    </row>
    <row r="102" spans="1:17" s="6" customFormat="1" ht="30" customHeight="1" x14ac:dyDescent="0.25">
      <c r="A102" s="22"/>
      <c r="B102" s="97">
        <v>58</v>
      </c>
      <c r="C102" s="97"/>
      <c r="D102" s="97">
        <v>59</v>
      </c>
      <c r="E102" s="248"/>
      <c r="F102" s="36">
        <v>76</v>
      </c>
      <c r="G102" s="92" t="s">
        <v>188</v>
      </c>
      <c r="H102" s="221" t="s">
        <v>57</v>
      </c>
      <c r="I102" s="222"/>
      <c r="J102" s="222"/>
      <c r="K102" s="223"/>
      <c r="L102" s="101" t="s">
        <v>245</v>
      </c>
      <c r="M102" s="1" t="s">
        <v>75</v>
      </c>
      <c r="N102" s="146">
        <f>(N99)+(N28*N101)</f>
        <v>0</v>
      </c>
      <c r="O102" s="146">
        <f t="shared" ref="O102:Q102" si="19">(O99)+(O28*O101)</f>
        <v>0</v>
      </c>
      <c r="P102" s="146">
        <f t="shared" si="19"/>
        <v>0</v>
      </c>
      <c r="Q102" s="146">
        <f t="shared" si="19"/>
        <v>0</v>
      </c>
    </row>
    <row r="103" spans="1:17" s="6" customFormat="1" ht="33" customHeight="1" x14ac:dyDescent="0.25">
      <c r="A103" s="22">
        <v>43</v>
      </c>
      <c r="B103" s="97"/>
      <c r="C103" s="97">
        <v>41</v>
      </c>
      <c r="D103" s="97"/>
      <c r="E103" s="248"/>
      <c r="F103" s="36">
        <v>77</v>
      </c>
      <c r="G103" s="39"/>
      <c r="H103" s="221" t="s">
        <v>244</v>
      </c>
      <c r="I103" s="222"/>
      <c r="J103" s="222"/>
      <c r="K103" s="223"/>
      <c r="L103" s="84"/>
      <c r="M103" s="1" t="s">
        <v>82</v>
      </c>
      <c r="N103" s="163"/>
      <c r="O103" s="145"/>
      <c r="P103" s="145"/>
      <c r="Q103" s="145"/>
    </row>
    <row r="104" spans="1:17" s="6" customFormat="1" ht="20.100000000000001" customHeight="1" x14ac:dyDescent="0.25">
      <c r="A104" s="22">
        <v>44</v>
      </c>
      <c r="B104" s="97"/>
      <c r="C104" s="94">
        <v>42</v>
      </c>
      <c r="D104" s="94"/>
      <c r="E104" s="249"/>
      <c r="F104" s="36">
        <v>78</v>
      </c>
      <c r="G104" s="39" t="s">
        <v>189</v>
      </c>
      <c r="H104" s="221" t="s">
        <v>58</v>
      </c>
      <c r="I104" s="222"/>
      <c r="J104" s="222"/>
      <c r="K104" s="223"/>
      <c r="L104" s="174" t="s">
        <v>228</v>
      </c>
      <c r="M104" s="8" t="s">
        <v>18</v>
      </c>
      <c r="N104" s="161">
        <f>(N103*N28 + N100)*N45</f>
        <v>0</v>
      </c>
      <c r="O104" s="161">
        <f>(O103*O28 + O100)*O45</f>
        <v>0</v>
      </c>
      <c r="P104" s="161">
        <f>(P103*P28 + P100)*P45</f>
        <v>0</v>
      </c>
      <c r="Q104" s="161">
        <f>(Q103*Q28 + Q100)*Q45</f>
        <v>0</v>
      </c>
    </row>
    <row r="105" spans="1:17" x14ac:dyDescent="0.25">
      <c r="E105" s="105"/>
    </row>
  </sheetData>
  <mergeCells count="140">
    <mergeCell ref="B85:B87"/>
    <mergeCell ref="D85:D87"/>
    <mergeCell ref="H59:K59"/>
    <mergeCell ref="E7:M7"/>
    <mergeCell ref="A6:D8"/>
    <mergeCell ref="A69:A71"/>
    <mergeCell ref="B69:B71"/>
    <mergeCell ref="C69:C71"/>
    <mergeCell ref="D69:D71"/>
    <mergeCell ref="F69:F71"/>
    <mergeCell ref="G69:G71"/>
    <mergeCell ref="A85:A87"/>
    <mergeCell ref="C85:C87"/>
    <mergeCell ref="H40:K40"/>
    <mergeCell ref="H45:K45"/>
    <mergeCell ref="H24:K24"/>
    <mergeCell ref="C9:D10"/>
    <mergeCell ref="A11:A12"/>
    <mergeCell ref="B11:B12"/>
    <mergeCell ref="D11:D12"/>
    <mergeCell ref="L9:L12"/>
    <mergeCell ref="F9:F12"/>
    <mergeCell ref="G9:G12"/>
    <mergeCell ref="H9:K12"/>
    <mergeCell ref="E68:E74"/>
    <mergeCell ref="E75:E80"/>
    <mergeCell ref="F78:F80"/>
    <mergeCell ref="E14:E28"/>
    <mergeCell ref="N79:Q80"/>
    <mergeCell ref="N9:Q12"/>
    <mergeCell ref="H25:K25"/>
    <mergeCell ref="H27:K27"/>
    <mergeCell ref="H13:K13"/>
    <mergeCell ref="H14:K14"/>
    <mergeCell ref="H15:K15"/>
    <mergeCell ref="H16:K16"/>
    <mergeCell ref="M9:M12"/>
    <mergeCell ref="I70:K70"/>
    <mergeCell ref="I71:K71"/>
    <mergeCell ref="H30:K30"/>
    <mergeCell ref="H23:K23"/>
    <mergeCell ref="H72:L72"/>
    <mergeCell ref="E9:E12"/>
    <mergeCell ref="H61:K61"/>
    <mergeCell ref="H67:K67"/>
    <mergeCell ref="H66:K66"/>
    <mergeCell ref="H65:K65"/>
    <mergeCell ref="H35:K35"/>
    <mergeCell ref="H36:K36"/>
    <mergeCell ref="H46:K46"/>
    <mergeCell ref="H48:K48"/>
    <mergeCell ref="A1:Q2"/>
    <mergeCell ref="A4:I4"/>
    <mergeCell ref="E6:I6"/>
    <mergeCell ref="E8:M8"/>
    <mergeCell ref="A9:B10"/>
    <mergeCell ref="H21:K21"/>
    <mergeCell ref="H22:K22"/>
    <mergeCell ref="H29:L29"/>
    <mergeCell ref="H37:K37"/>
    <mergeCell ref="H39:K39"/>
    <mergeCell ref="H38:K38"/>
    <mergeCell ref="H28:K28"/>
    <mergeCell ref="H31:K31"/>
    <mergeCell ref="H32:K32"/>
    <mergeCell ref="H33:K33"/>
    <mergeCell ref="H34:K34"/>
    <mergeCell ref="H47:K47"/>
    <mergeCell ref="L6:M6"/>
    <mergeCell ref="H41:K41"/>
    <mergeCell ref="E29:E44"/>
    <mergeCell ref="I43:K43"/>
    <mergeCell ref="H102:K102"/>
    <mergeCell ref="H97:K97"/>
    <mergeCell ref="H99:K99"/>
    <mergeCell ref="H100:K100"/>
    <mergeCell ref="H103:K103"/>
    <mergeCell ref="H74:K74"/>
    <mergeCell ref="H75:K75"/>
    <mergeCell ref="H91:K91"/>
    <mergeCell ref="H92:K92"/>
    <mergeCell ref="H88:K88"/>
    <mergeCell ref="I44:K44"/>
    <mergeCell ref="I42:K42"/>
    <mergeCell ref="M41:M44"/>
    <mergeCell ref="E96:E104"/>
    <mergeCell ref="E92:E95"/>
    <mergeCell ref="E45:E47"/>
    <mergeCell ref="E51:E64"/>
    <mergeCell ref="H49:K49"/>
    <mergeCell ref="H50:K50"/>
    <mergeCell ref="H84:K84"/>
    <mergeCell ref="H95:K95"/>
    <mergeCell ref="H85:K85"/>
    <mergeCell ref="H87:K87"/>
    <mergeCell ref="H69:K69"/>
    <mergeCell ref="H93:K93"/>
    <mergeCell ref="H51:K51"/>
    <mergeCell ref="H56:K56"/>
    <mergeCell ref="H58:K58"/>
    <mergeCell ref="H60:K60"/>
    <mergeCell ref="F85:F87"/>
    <mergeCell ref="F98:F100"/>
    <mergeCell ref="H98:L98"/>
    <mergeCell ref="H104:K104"/>
    <mergeCell ref="H101:K101"/>
    <mergeCell ref="N98:Q98"/>
    <mergeCell ref="H96:K96"/>
    <mergeCell ref="H86:K86"/>
    <mergeCell ref="H77:K77"/>
    <mergeCell ref="H78:K80"/>
    <mergeCell ref="H81:K81"/>
    <mergeCell ref="H82:K82"/>
    <mergeCell ref="H94:K94"/>
    <mergeCell ref="I89:K89"/>
    <mergeCell ref="I90:K90"/>
    <mergeCell ref="N69:Q69"/>
    <mergeCell ref="D65:D66"/>
    <mergeCell ref="C65:C66"/>
    <mergeCell ref="A65:A66"/>
    <mergeCell ref="B65:B66"/>
    <mergeCell ref="G66:G67"/>
    <mergeCell ref="N8:P8"/>
    <mergeCell ref="A88:A90"/>
    <mergeCell ref="C88:C90"/>
    <mergeCell ref="B88:B90"/>
    <mergeCell ref="D88:D90"/>
    <mergeCell ref="F88:F90"/>
    <mergeCell ref="H17:K17"/>
    <mergeCell ref="H18:K18"/>
    <mergeCell ref="H19:K19"/>
    <mergeCell ref="H20:K20"/>
    <mergeCell ref="H76:K76"/>
    <mergeCell ref="H73:K73"/>
    <mergeCell ref="H68:K68"/>
    <mergeCell ref="H62:K62"/>
    <mergeCell ref="H26:K26"/>
    <mergeCell ref="C11:C12"/>
    <mergeCell ref="H63:K63"/>
    <mergeCell ref="H64:K64"/>
  </mergeCells>
  <dataValidations count="2">
    <dataValidation type="list" allowBlank="1" showInputMessage="1" showErrorMessage="1" sqref="L6:M6" xr:uid="{00000000-0002-0000-0000-000000000000}">
      <formula1>"Choose,Single Tube Steam, Hot Water, Cold Water"</formula1>
    </dataValidation>
    <dataValidation type="list" allowBlank="1" showInputMessage="1" showErrorMessage="1" sqref="N8:P8" xr:uid="{00000000-0002-0000-0000-000001000000}">
      <formula1>"Choose Calc Method,Solve for Rows, Solve for Capacity"</formula1>
    </dataValidation>
  </dataValidations>
  <pageMargins left="0.1" right="0.1" top="0.5" bottom="0.5" header="0.3" footer="0.3"/>
  <pageSetup orientation="landscape" horizontalDpi="300" verticalDpi="300" r:id="rId1"/>
  <headerFooter>
    <oddFooter>&amp;LPage &amp;P of &amp;N&amp;RForm 410-5 IP Units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410-5 IP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jfaragalli</dc:creator>
  <cp:lastModifiedBy>Hamamcioglu, Sarp</cp:lastModifiedBy>
  <cp:lastPrinted>2012-06-12T21:35:28Z</cp:lastPrinted>
  <dcterms:created xsi:type="dcterms:W3CDTF">2011-06-28T13:48:48Z</dcterms:created>
  <dcterms:modified xsi:type="dcterms:W3CDTF">2023-04-20T15:14:44Z</dcterms:modified>
</cp:coreProperties>
</file>