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mamcioglu\Desktop\410 forms update 3.1.2023\2023\"/>
    </mc:Choice>
  </mc:AlternateContent>
  <xr:revisionPtr revIDLastSave="0" documentId="8_{B2F9DE0F-261B-431B-8DB4-D6B17A0BD22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 410-6 IP Un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N27" i="1"/>
  <c r="N162" i="1" s="1"/>
  <c r="O26" i="1"/>
  <c r="N26" i="1"/>
  <c r="O161" i="1"/>
  <c r="N161" i="1"/>
  <c r="O60" i="1"/>
  <c r="N60" i="1"/>
  <c r="O122" i="1"/>
  <c r="O107" i="1"/>
  <c r="O82" i="1"/>
  <c r="O66" i="1"/>
  <c r="O67" i="1" s="1"/>
  <c r="O57" i="1"/>
  <c r="O52" i="1"/>
  <c r="O53" i="1" s="1"/>
  <c r="O40" i="1"/>
  <c r="O47" i="1"/>
  <c r="O15" i="1"/>
  <c r="O25" i="1" s="1"/>
  <c r="N122" i="1"/>
  <c r="N15" i="1"/>
  <c r="N29" i="1" s="1"/>
  <c r="N82" i="1"/>
  <c r="N107" i="1"/>
  <c r="N66" i="1"/>
  <c r="N67" i="1" s="1"/>
  <c r="N52" i="1"/>
  <c r="N53" i="1" s="1"/>
  <c r="N47" i="1"/>
  <c r="N57" i="1"/>
  <c r="N40" i="1"/>
  <c r="N25" i="1" l="1"/>
  <c r="O68" i="1"/>
  <c r="O69" i="1" s="1"/>
  <c r="O29" i="1"/>
  <c r="O45" i="1"/>
  <c r="O48" i="1"/>
  <c r="O150" i="1"/>
  <c r="O162" i="1"/>
  <c r="O56" i="1"/>
  <c r="N45" i="1"/>
  <c r="N115" i="1" s="1"/>
  <c r="N150" i="1"/>
  <c r="N56" i="1"/>
  <c r="N68" i="1"/>
  <c r="N69" i="1" s="1"/>
  <c r="N48" i="1"/>
  <c r="O61" i="1" l="1"/>
  <c r="N61" i="1"/>
  <c r="O72" i="1"/>
  <c r="N85" i="1"/>
  <c r="N140" i="1"/>
  <c r="O140" i="1"/>
  <c r="O85" i="1"/>
  <c r="O115" i="1"/>
  <c r="O84" i="1"/>
  <c r="O83" i="1" s="1"/>
  <c r="N84" i="1"/>
  <c r="N83" i="1" s="1"/>
  <c r="N72" i="1"/>
  <c r="N75" i="1" s="1"/>
  <c r="O109" i="1" l="1"/>
  <c r="O75" i="1"/>
  <c r="O74" i="1"/>
  <c r="O81" i="1"/>
  <c r="O80" i="1" s="1"/>
  <c r="O94" i="1" s="1"/>
  <c r="O113" i="1"/>
  <c r="O114" i="1"/>
  <c r="O112" i="1"/>
  <c r="N109" i="1"/>
  <c r="N112" i="1" s="1"/>
  <c r="N74" i="1"/>
  <c r="N81" i="1"/>
  <c r="O95" i="1" l="1"/>
  <c r="O93" i="1"/>
  <c r="O92" i="1" s="1"/>
  <c r="O91" i="1" s="1"/>
  <c r="O111" i="1"/>
  <c r="O110" i="1" s="1"/>
  <c r="N80" i="1"/>
  <c r="N95" i="1" s="1"/>
  <c r="N113" i="1"/>
  <c r="N114" i="1"/>
  <c r="O98" i="1" l="1"/>
  <c r="O99" i="1"/>
  <c r="O126" i="1"/>
  <c r="O127" i="1"/>
  <c r="O128" i="1"/>
  <c r="O104" i="1"/>
  <c r="O97" i="1"/>
  <c r="O96" i="1" s="1"/>
  <c r="O120" i="1"/>
  <c r="O117" i="1"/>
  <c r="O118" i="1" s="1"/>
  <c r="O123" i="1"/>
  <c r="O134" i="1" s="1"/>
  <c r="O141" i="1"/>
  <c r="O139" i="1" s="1"/>
  <c r="N111" i="1"/>
  <c r="N110" i="1" s="1"/>
  <c r="N94" i="1"/>
  <c r="O125" i="1"/>
  <c r="N93" i="1"/>
  <c r="N126" i="1" l="1"/>
  <c r="N127" i="1"/>
  <c r="N128" i="1"/>
  <c r="N120" i="1"/>
  <c r="N123" i="1"/>
  <c r="N134" i="1" s="1"/>
  <c r="N117" i="1"/>
  <c r="N118" i="1" s="1"/>
  <c r="N141" i="1"/>
  <c r="N139" i="1" s="1"/>
  <c r="O132" i="1"/>
  <c r="O129" i="1" s="1"/>
  <c r="O133" i="1" s="1"/>
  <c r="O142" i="1"/>
  <c r="O124" i="1"/>
  <c r="O130" i="1" s="1"/>
  <c r="O131" i="1"/>
  <c r="O101" i="1"/>
  <c r="O103" i="1"/>
  <c r="O102" i="1"/>
  <c r="N92" i="1"/>
  <c r="O143" i="1" l="1"/>
  <c r="O148" i="1" s="1"/>
  <c r="O149" i="1" s="1"/>
  <c r="O153" i="1" s="1"/>
  <c r="N142" i="1"/>
  <c r="N124" i="1"/>
  <c r="N125" i="1"/>
  <c r="N130" i="1" s="1"/>
  <c r="O100" i="1"/>
  <c r="N91" i="1"/>
  <c r="O144" i="1" l="1"/>
  <c r="O151" i="1"/>
  <c r="N131" i="1"/>
  <c r="N97" i="1"/>
  <c r="N98" i="1"/>
  <c r="N99" i="1"/>
  <c r="N132" i="1"/>
  <c r="N129" i="1" s="1"/>
  <c r="N133" i="1" s="1"/>
  <c r="N143" i="1" s="1"/>
  <c r="N96" i="1"/>
  <c r="N103" i="1" s="1"/>
  <c r="N104" i="1"/>
  <c r="O157" i="1"/>
  <c r="O158" i="1" s="1"/>
  <c r="O154" i="1"/>
  <c r="O155" i="1" s="1"/>
  <c r="N101" i="1" l="1"/>
  <c r="N100" i="1" s="1"/>
  <c r="N102" i="1"/>
  <c r="N144" i="1"/>
  <c r="N148" i="1"/>
  <c r="N149" i="1" s="1"/>
  <c r="N153" i="1" l="1"/>
  <c r="N151" i="1"/>
  <c r="N154" i="1" l="1"/>
  <c r="N155" i="1" s="1"/>
  <c r="N157" i="1"/>
  <c r="N158" i="1" s="1"/>
</calcChain>
</file>

<file path=xl/sharedStrings.xml><?xml version="1.0" encoding="utf-8"?>
<sst xmlns="http://schemas.openxmlformats.org/spreadsheetml/2006/main" count="597" uniqueCount="372">
  <si>
    <t>Company</t>
  </si>
  <si>
    <t>Date</t>
  </si>
  <si>
    <t>Coil Line:</t>
  </si>
  <si>
    <t>Coil Type:</t>
  </si>
  <si>
    <t>Coil Surface:</t>
  </si>
  <si>
    <t>GENERAL PROCEDURE</t>
  </si>
  <si>
    <t>Item No.</t>
  </si>
  <si>
    <t>Item Abbr.</t>
  </si>
  <si>
    <t>Item Description</t>
  </si>
  <si>
    <t>Calculation Procedure</t>
  </si>
  <si>
    <t>Number of Tube Circuits in Coil</t>
  </si>
  <si>
    <t>Equivalent Length of Coil Circuit per Return Bend</t>
  </si>
  <si>
    <t>Total Equivalent Length of Coil Circuit</t>
  </si>
  <si>
    <t>Entering Water Temperature</t>
  </si>
  <si>
    <t>Leaving Water Temperature</t>
  </si>
  <si>
    <t>Water Flow Rate</t>
  </si>
  <si>
    <t>Solution Procedure Steps for Specific Coil Application</t>
  </si>
  <si>
    <t>General Procedure</t>
  </si>
  <si>
    <t>H</t>
  </si>
  <si>
    <t>L</t>
  </si>
  <si>
    <t>B</t>
  </si>
  <si>
    <t>Surface Ratio (See Form 410-1)</t>
  </si>
  <si>
    <t>Total External Coil Surface</t>
  </si>
  <si>
    <t>Tube Inside Diameter</t>
  </si>
  <si>
    <t>Straight Tube Length per Tube Pass</t>
  </si>
  <si>
    <t>Air Volume Flow at Standard Conditions</t>
  </si>
  <si>
    <t>scfm</t>
  </si>
  <si>
    <t>Standard Air Face Velocity</t>
  </si>
  <si>
    <t>Entering Air Dry-Bulb Temperature</t>
  </si>
  <si>
    <t>Avg. Standard Water Velocity</t>
  </si>
  <si>
    <t>Avg. Absolute Static Pressure at Coil</t>
  </si>
  <si>
    <t>psia</t>
  </si>
  <si>
    <t>Btu/lb</t>
  </si>
  <si>
    <t>Coil Face Height</t>
  </si>
  <si>
    <t>Coil Face Length</t>
  </si>
  <si>
    <t>Coil Face Area</t>
  </si>
  <si>
    <t>Cold Water Coils</t>
  </si>
  <si>
    <t>Volatile Refrigerant Coils</t>
  </si>
  <si>
    <t>Partially Wet Surface</t>
  </si>
  <si>
    <t>Fully Wet Surface</t>
  </si>
  <si>
    <t>Entering Air Wet-bulb Temperature</t>
  </si>
  <si>
    <t>Refrigerant Flow Rate</t>
  </si>
  <si>
    <t>Standard Air Flow Rate</t>
  </si>
  <si>
    <t>Leaving Air Wet-Bulb Temperature</t>
  </si>
  <si>
    <t>Refrigerant Flow Rate per Tube Circuit</t>
  </si>
  <si>
    <t>Abs. Pressure of Refrigerant at Coil Inlet</t>
  </si>
  <si>
    <t>Abs. Pressure of Refrigerant Leaving Coil Circuits</t>
  </si>
  <si>
    <t>Refrigerant Loading Rate per Tube Circuit</t>
  </si>
  <si>
    <t>Mean Water Temperature in Coil</t>
  </si>
  <si>
    <t>C</t>
  </si>
  <si>
    <t>m"/ cp</t>
  </si>
  <si>
    <t>Air-Side Thermal Conductance for Wet Surface</t>
  </si>
  <si>
    <t>Capacity for Dry Portion of Coil</t>
  </si>
  <si>
    <t>Air Dry-Bulb Temperature at Boundary</t>
  </si>
  <si>
    <t>For Water Coils</t>
  </si>
  <si>
    <t>Logarithmic Mean Temperature Difference for Dry Coil Portion</t>
  </si>
  <si>
    <t>Calculated External Surface Area for Dry Portion of Coil</t>
  </si>
  <si>
    <t>Capacity for Wet Portion of Coil</t>
  </si>
  <si>
    <t>Logarithmic Mean Enthalpy Difference Between Air Stream and Wetted Surface</t>
  </si>
  <si>
    <t>c</t>
  </si>
  <si>
    <t>Heat Transfer Exponent</t>
  </si>
  <si>
    <t>Heat Transfer Factor</t>
  </si>
  <si>
    <t>Leaving Air Enthalpy at Actual Value of qt</t>
  </si>
  <si>
    <t>Saturated Enthalpy at Effective Surface Temperature</t>
  </si>
  <si>
    <t>Air Leaving Dry-Bulb Temperature</t>
  </si>
  <si>
    <t>Dry Surface Air-Side Pressure Drop Correction Factor</t>
  </si>
  <si>
    <t>Water Pressure Drop Across Coil at Job Conditions</t>
  </si>
  <si>
    <t>psi</t>
  </si>
  <si>
    <t>Refrigerant Pressure Drop Through Coil</t>
  </si>
  <si>
    <t>Calculated External Surface Area for Fully Wet Coil or Wet Portion of Coil</t>
  </si>
  <si>
    <t>Ratio of Tube-Side Temperature Difference to Air Enthalpy Difference</t>
  </si>
  <si>
    <t>--</t>
  </si>
  <si>
    <t>COIL PHYSICAL DATA</t>
  </si>
  <si>
    <t>RATING CONDITIONS AND DATA COMPUTATIONS</t>
  </si>
  <si>
    <t>RATING PARAMETERS</t>
  </si>
  <si>
    <t>CALC OF CAPACITY FOR CASE III</t>
  </si>
  <si>
    <t>AIR-SIDE FRICTION CALCULATIONS</t>
  </si>
  <si>
    <t>TUBE SIDE PRESSURE DROP CALCULATIONS</t>
  </si>
  <si>
    <t>Dimensions, IP</t>
  </si>
  <si>
    <t>lb/h</t>
  </si>
  <si>
    <t>Btu/h</t>
  </si>
  <si>
    <r>
      <t>lb/ft</t>
    </r>
    <r>
      <rPr>
        <vertAlign val="superscript"/>
        <sz val="8"/>
        <color theme="1"/>
        <rFont val="Calibri"/>
        <family val="2"/>
        <scheme val="minor"/>
      </rPr>
      <t>3</t>
    </r>
  </si>
  <si>
    <t>-</t>
  </si>
  <si>
    <t xml:space="preserve">Fouling Factor Allowance for Water  (assumed to be zero unless otherwise specified) </t>
  </si>
  <si>
    <t>y</t>
  </si>
  <si>
    <t>Approx. Mean Air Enthalpy for Fully-Wet Coil or Wet Portion of Partially Dry Coil</t>
  </si>
  <si>
    <t>Mean Tube Wall Temperature</t>
  </si>
  <si>
    <r>
      <t>A</t>
    </r>
    <r>
      <rPr>
        <vertAlign val="subscript"/>
        <sz val="9"/>
        <color theme="1"/>
        <rFont val="Calibri"/>
        <family val="2"/>
        <scheme val="minor"/>
      </rPr>
      <t>f</t>
    </r>
  </si>
  <si>
    <r>
      <t>N</t>
    </r>
    <r>
      <rPr>
        <vertAlign val="subscript"/>
        <sz val="9"/>
        <color theme="1"/>
        <rFont val="Calibri"/>
        <family val="2"/>
        <scheme val="minor"/>
      </rPr>
      <t>r</t>
    </r>
  </si>
  <si>
    <r>
      <t>N</t>
    </r>
    <r>
      <rPr>
        <vertAlign val="subscript"/>
        <sz val="9"/>
        <color theme="1"/>
        <rFont val="Calibri"/>
        <family val="2"/>
        <scheme val="minor"/>
      </rPr>
      <t>c</t>
    </r>
  </si>
  <si>
    <r>
      <t>D</t>
    </r>
    <r>
      <rPr>
        <vertAlign val="subscript"/>
        <sz val="9"/>
        <color theme="1"/>
        <rFont val="Calibri"/>
        <family val="2"/>
        <scheme val="minor"/>
      </rPr>
      <t>i</t>
    </r>
  </si>
  <si>
    <r>
      <t>L</t>
    </r>
    <r>
      <rPr>
        <vertAlign val="subscript"/>
        <sz val="9"/>
        <color theme="1"/>
        <rFont val="Calibri"/>
        <family val="2"/>
        <scheme val="minor"/>
      </rPr>
      <t>s</t>
    </r>
  </si>
  <si>
    <r>
      <t>K</t>
    </r>
    <r>
      <rPr>
        <vertAlign val="subscript"/>
        <sz val="9"/>
        <color theme="1"/>
        <rFont val="Calibri"/>
        <family val="2"/>
        <scheme val="minor"/>
      </rPr>
      <t>b</t>
    </r>
  </si>
  <si>
    <r>
      <t>A</t>
    </r>
    <r>
      <rPr>
        <vertAlign val="subscript"/>
        <sz val="9"/>
        <color theme="1"/>
        <rFont val="Calibri"/>
        <family val="2"/>
        <scheme val="minor"/>
      </rPr>
      <t>o</t>
    </r>
  </si>
  <si>
    <r>
      <t>A</t>
    </r>
    <r>
      <rPr>
        <vertAlign val="subscript"/>
        <sz val="9"/>
        <color theme="1"/>
        <rFont val="Calibri"/>
        <family val="2"/>
        <scheme val="minor"/>
      </rPr>
      <t>ix</t>
    </r>
  </si>
  <si>
    <r>
      <t>L</t>
    </r>
    <r>
      <rPr>
        <vertAlign val="subscript"/>
        <sz val="9"/>
        <color theme="1"/>
        <rFont val="Calibri"/>
        <family val="2"/>
        <scheme val="minor"/>
      </rPr>
      <t>e</t>
    </r>
  </si>
  <si>
    <r>
      <t>V</t>
    </r>
    <r>
      <rPr>
        <vertAlign val="subscript"/>
        <sz val="9"/>
        <color theme="1"/>
        <rFont val="Calibri"/>
        <family val="2"/>
        <scheme val="minor"/>
      </rPr>
      <t>a</t>
    </r>
  </si>
  <si>
    <r>
      <t>V</t>
    </r>
    <r>
      <rPr>
        <vertAlign val="subscript"/>
        <sz val="9"/>
        <color theme="1"/>
        <rFont val="Calibri"/>
        <family val="2"/>
        <scheme val="minor"/>
      </rPr>
      <t>w</t>
    </r>
  </si>
  <si>
    <r>
      <t>t</t>
    </r>
    <r>
      <rPr>
        <vertAlign val="subscript"/>
        <sz val="9"/>
        <color theme="1"/>
        <rFont val="Calibri"/>
        <family val="2"/>
        <scheme val="minor"/>
      </rPr>
      <t>w1</t>
    </r>
  </si>
  <si>
    <r>
      <t>P</t>
    </r>
    <r>
      <rPr>
        <vertAlign val="subscript"/>
        <sz val="9"/>
        <color theme="1"/>
        <rFont val="Calibri"/>
        <family val="2"/>
        <scheme val="minor"/>
      </rPr>
      <t>s</t>
    </r>
  </si>
  <si>
    <r>
      <t>h</t>
    </r>
    <r>
      <rPr>
        <vertAlign val="subscript"/>
        <sz val="9"/>
        <color theme="1"/>
        <rFont val="Calibri"/>
        <family val="2"/>
        <scheme val="minor"/>
      </rPr>
      <t>1</t>
    </r>
  </si>
  <si>
    <r>
      <t>60w</t>
    </r>
    <r>
      <rPr>
        <vertAlign val="subscript"/>
        <sz val="9"/>
        <color theme="1"/>
        <rFont val="Calibri"/>
        <family val="2"/>
        <scheme val="minor"/>
      </rPr>
      <t>a</t>
    </r>
  </si>
  <si>
    <r>
      <t>h</t>
    </r>
    <r>
      <rPr>
        <vertAlign val="subscript"/>
        <sz val="9"/>
        <color theme="1"/>
        <rFont val="Calibri"/>
        <family val="2"/>
        <scheme val="minor"/>
      </rPr>
      <t>2</t>
    </r>
  </si>
  <si>
    <r>
      <t>q</t>
    </r>
    <r>
      <rPr>
        <vertAlign val="subscript"/>
        <sz val="9"/>
        <color theme="1"/>
        <rFont val="Calibri"/>
        <family val="2"/>
        <scheme val="minor"/>
      </rPr>
      <t>t</t>
    </r>
  </si>
  <si>
    <r>
      <t>w</t>
    </r>
    <r>
      <rPr>
        <vertAlign val="subscript"/>
        <sz val="9"/>
        <color theme="1"/>
        <rFont val="Calibri"/>
        <family val="2"/>
        <scheme val="minor"/>
      </rPr>
      <t>w</t>
    </r>
  </si>
  <si>
    <r>
      <t>t</t>
    </r>
    <r>
      <rPr>
        <vertAlign val="subscript"/>
        <sz val="9"/>
        <color theme="1"/>
        <rFont val="Calibri"/>
        <family val="2"/>
        <scheme val="minor"/>
      </rPr>
      <t>w2</t>
    </r>
  </si>
  <si>
    <r>
      <t>P</t>
    </r>
    <r>
      <rPr>
        <vertAlign val="subscript"/>
        <sz val="9"/>
        <color theme="1"/>
        <rFont val="Calibri"/>
        <family val="2"/>
        <scheme val="minor"/>
      </rPr>
      <t>r2</t>
    </r>
  </si>
  <si>
    <r>
      <t>h</t>
    </r>
    <r>
      <rPr>
        <vertAlign val="subscript"/>
        <sz val="9"/>
        <color theme="1"/>
        <rFont val="Calibri"/>
        <family val="2"/>
        <scheme val="minor"/>
      </rPr>
      <t>r2</t>
    </r>
  </si>
  <si>
    <r>
      <t>w</t>
    </r>
    <r>
      <rPr>
        <vertAlign val="subscript"/>
        <sz val="9"/>
        <color theme="1"/>
        <rFont val="Calibri"/>
        <family val="2"/>
        <scheme val="minor"/>
      </rPr>
      <t>r</t>
    </r>
  </si>
  <si>
    <r>
      <t>w</t>
    </r>
    <r>
      <rPr>
        <vertAlign val="subscript"/>
        <sz val="9"/>
        <color theme="1"/>
        <rFont val="Calibri"/>
        <family val="2"/>
        <scheme val="minor"/>
      </rPr>
      <t>r</t>
    </r>
    <r>
      <rPr>
        <sz val="9"/>
        <color theme="1"/>
        <rFont val="Calibri"/>
        <family val="2"/>
        <scheme val="minor"/>
      </rPr>
      <t>/N</t>
    </r>
    <r>
      <rPr>
        <vertAlign val="subscript"/>
        <sz val="9"/>
        <color theme="1"/>
        <rFont val="Calibri"/>
        <family val="2"/>
        <scheme val="minor"/>
      </rPr>
      <t>c</t>
    </r>
  </si>
  <si>
    <r>
      <t>P</t>
    </r>
    <r>
      <rPr>
        <vertAlign val="subscript"/>
        <sz val="9"/>
        <color theme="1"/>
        <rFont val="Calibri"/>
        <family val="2"/>
        <scheme val="minor"/>
      </rPr>
      <t>r1</t>
    </r>
  </si>
  <si>
    <r>
      <t>P</t>
    </r>
    <r>
      <rPr>
        <vertAlign val="subscript"/>
        <sz val="9"/>
        <color theme="1"/>
        <rFont val="Calibri"/>
        <family val="2"/>
        <scheme val="minor"/>
      </rPr>
      <t>rc2</t>
    </r>
  </si>
  <si>
    <r>
      <t>q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/N</t>
    </r>
    <r>
      <rPr>
        <vertAlign val="subscript"/>
        <sz val="9"/>
        <color theme="1"/>
        <rFont val="Calibri"/>
        <family val="2"/>
        <scheme val="minor"/>
      </rPr>
      <t>c</t>
    </r>
  </si>
  <si>
    <r>
      <t>t</t>
    </r>
    <r>
      <rPr>
        <vertAlign val="subscript"/>
        <sz val="9"/>
        <color theme="1"/>
        <rFont val="Calibri"/>
        <family val="2"/>
        <scheme val="minor"/>
      </rPr>
      <t>wm</t>
    </r>
  </si>
  <si>
    <r>
      <t>ρ</t>
    </r>
    <r>
      <rPr>
        <vertAlign val="subscript"/>
        <sz val="9"/>
        <color theme="1"/>
        <rFont val="Calibri"/>
        <family val="2"/>
      </rPr>
      <t>w</t>
    </r>
  </si>
  <si>
    <r>
      <t>c</t>
    </r>
    <r>
      <rPr>
        <vertAlign val="subscript"/>
        <sz val="9"/>
        <color theme="1"/>
        <rFont val="Calibri"/>
        <family val="2"/>
        <scheme val="minor"/>
      </rPr>
      <t>pw</t>
    </r>
  </si>
  <si>
    <r>
      <t>μ</t>
    </r>
    <r>
      <rPr>
        <vertAlign val="subscript"/>
        <sz val="9"/>
        <color theme="1"/>
        <rFont val="Calibri"/>
        <family val="2"/>
        <scheme val="minor"/>
      </rPr>
      <t>w</t>
    </r>
  </si>
  <si>
    <r>
      <t>Pr</t>
    </r>
    <r>
      <rPr>
        <vertAlign val="subscript"/>
        <sz val="9"/>
        <color theme="1"/>
        <rFont val="Calibri"/>
        <family val="2"/>
        <scheme val="minor"/>
      </rPr>
      <t>w</t>
    </r>
  </si>
  <si>
    <r>
      <t>Pr</t>
    </r>
    <r>
      <rPr>
        <vertAlign val="subscript"/>
        <sz val="9"/>
        <color theme="1"/>
        <rFont val="Calibri"/>
        <family val="2"/>
        <scheme val="minor"/>
      </rPr>
      <t>w</t>
    </r>
    <r>
      <rPr>
        <vertAlign val="superscript"/>
        <sz val="9"/>
        <color theme="1"/>
        <rFont val="Calibri"/>
        <family val="2"/>
        <scheme val="minor"/>
      </rPr>
      <t>2/3</t>
    </r>
  </si>
  <si>
    <r>
      <t>G</t>
    </r>
    <r>
      <rPr>
        <vertAlign val="subscript"/>
        <sz val="9"/>
        <color theme="1"/>
        <rFont val="Calibri"/>
        <family val="2"/>
        <scheme val="minor"/>
      </rPr>
      <t>w</t>
    </r>
  </si>
  <si>
    <r>
      <t>Re</t>
    </r>
    <r>
      <rPr>
        <vertAlign val="subscript"/>
        <sz val="9"/>
        <color theme="1"/>
        <rFont val="Calibri"/>
        <family val="2"/>
        <scheme val="minor"/>
      </rPr>
      <t>w</t>
    </r>
  </si>
  <si>
    <r>
      <t>j</t>
    </r>
    <r>
      <rPr>
        <vertAlign val="subscript"/>
        <sz val="9"/>
        <color theme="1"/>
        <rFont val="Calibri"/>
        <family val="2"/>
        <scheme val="minor"/>
      </rPr>
      <t>w</t>
    </r>
  </si>
  <si>
    <r>
      <t>R</t>
    </r>
    <r>
      <rPr>
        <vertAlign val="subscript"/>
        <sz val="9"/>
        <color theme="1"/>
        <rFont val="Calibri"/>
        <family val="2"/>
        <scheme val="minor"/>
      </rPr>
      <t>aD</t>
    </r>
  </si>
  <si>
    <r>
      <t>R</t>
    </r>
    <r>
      <rPr>
        <vertAlign val="subscript"/>
        <sz val="9"/>
        <color theme="1"/>
        <rFont val="Calibri"/>
        <family val="2"/>
        <scheme val="minor"/>
      </rPr>
      <t>aW</t>
    </r>
  </si>
  <si>
    <r>
      <t>R</t>
    </r>
    <r>
      <rPr>
        <vertAlign val="subscript"/>
        <sz val="9"/>
        <color theme="1"/>
        <rFont val="Calibri"/>
        <family val="2"/>
        <scheme val="minor"/>
      </rPr>
      <t>mD</t>
    </r>
  </si>
  <si>
    <r>
      <t>f</t>
    </r>
    <r>
      <rPr>
        <vertAlign val="subscript"/>
        <sz val="9"/>
        <color theme="1"/>
        <rFont val="Calibri"/>
        <family val="2"/>
        <scheme val="minor"/>
      </rPr>
      <t>aW</t>
    </r>
  </si>
  <si>
    <r>
      <t>R</t>
    </r>
    <r>
      <rPr>
        <vertAlign val="subscript"/>
        <sz val="9"/>
        <color theme="1"/>
        <rFont val="Calibri"/>
        <family val="2"/>
        <scheme val="minor"/>
      </rPr>
      <t>mW</t>
    </r>
  </si>
  <si>
    <r>
      <t>h</t>
    </r>
    <r>
      <rPr>
        <vertAlign val="subscript"/>
        <sz val="9"/>
        <color theme="1"/>
        <rFont val="Calibri"/>
        <family val="2"/>
        <scheme val="minor"/>
      </rPr>
      <t>B</t>
    </r>
  </si>
  <si>
    <r>
      <t>(μ</t>
    </r>
    <r>
      <rPr>
        <vertAlign val="subscript"/>
        <sz val="9"/>
        <color theme="1"/>
        <rFont val="Calibri"/>
        <family val="2"/>
        <scheme val="minor"/>
      </rPr>
      <t>tw</t>
    </r>
    <r>
      <rPr>
        <sz val="9"/>
        <color theme="1"/>
        <rFont val="Calibri"/>
        <family val="2"/>
        <scheme val="minor"/>
      </rPr>
      <t xml:space="preserve">/ </t>
    </r>
    <r>
      <rPr>
        <sz val="9"/>
        <color theme="1"/>
        <rFont val="Calibri"/>
        <family val="2"/>
      </rPr>
      <t>μ</t>
    </r>
    <r>
      <rPr>
        <vertAlign val="subscript"/>
        <sz val="9"/>
        <color theme="1"/>
        <rFont val="Calibri"/>
        <family val="2"/>
      </rPr>
      <t>w</t>
    </r>
    <r>
      <rPr>
        <sz val="9"/>
        <color theme="1"/>
        <rFont val="Calibri"/>
        <family val="2"/>
      </rPr>
      <t>)</t>
    </r>
    <r>
      <rPr>
        <vertAlign val="superscript"/>
        <sz val="9"/>
        <color theme="1"/>
        <rFont val="Calibri"/>
        <family val="2"/>
      </rPr>
      <t xml:space="preserve">.14 </t>
    </r>
    <r>
      <rPr>
        <sz val="9"/>
        <color theme="1"/>
        <rFont val="Calibri"/>
        <family val="2"/>
      </rPr>
      <t>calc</t>
    </r>
  </si>
  <si>
    <r>
      <t>q</t>
    </r>
    <r>
      <rPr>
        <vertAlign val="subscript"/>
        <sz val="9"/>
        <color theme="1"/>
        <rFont val="Calibri"/>
        <family val="2"/>
        <scheme val="minor"/>
      </rPr>
      <t>tD</t>
    </r>
  </si>
  <si>
    <r>
      <t>Δt</t>
    </r>
    <r>
      <rPr>
        <vertAlign val="subscript"/>
        <sz val="9"/>
        <color theme="1"/>
        <rFont val="Calibri"/>
        <family val="2"/>
        <scheme val="minor"/>
      </rPr>
      <t>m</t>
    </r>
  </si>
  <si>
    <r>
      <t>A</t>
    </r>
    <r>
      <rPr>
        <vertAlign val="subscript"/>
        <sz val="9"/>
        <color theme="1"/>
        <rFont val="Calibri"/>
        <family val="2"/>
        <scheme val="minor"/>
      </rPr>
      <t>cD</t>
    </r>
  </si>
  <si>
    <r>
      <t>q</t>
    </r>
    <r>
      <rPr>
        <vertAlign val="subscript"/>
        <sz val="9"/>
        <color theme="1"/>
        <rFont val="Calibri"/>
        <family val="2"/>
        <scheme val="minor"/>
      </rPr>
      <t>tW</t>
    </r>
  </si>
  <si>
    <r>
      <t>t</t>
    </r>
    <r>
      <rPr>
        <vertAlign val="subscript"/>
        <sz val="9"/>
        <color theme="1"/>
        <rFont val="Calibri"/>
        <family val="2"/>
        <scheme val="minor"/>
      </rPr>
      <t>s2</t>
    </r>
  </si>
  <si>
    <r>
      <t>h</t>
    </r>
    <r>
      <rPr>
        <vertAlign val="subscript"/>
        <sz val="9"/>
        <color theme="1"/>
        <rFont val="Calibri"/>
        <family val="2"/>
        <scheme val="minor"/>
      </rPr>
      <t>s1</t>
    </r>
  </si>
  <si>
    <r>
      <t>h</t>
    </r>
    <r>
      <rPr>
        <vertAlign val="subscript"/>
        <sz val="9"/>
        <color theme="1"/>
        <rFont val="Calibri"/>
        <family val="2"/>
        <scheme val="minor"/>
      </rPr>
      <t>s2</t>
    </r>
  </si>
  <si>
    <r>
      <t>Δh</t>
    </r>
    <r>
      <rPr>
        <vertAlign val="subscript"/>
        <sz val="9"/>
        <color theme="1"/>
        <rFont val="Calibri"/>
        <family val="2"/>
        <scheme val="minor"/>
      </rPr>
      <t>m</t>
    </r>
  </si>
  <si>
    <r>
      <t>A</t>
    </r>
    <r>
      <rPr>
        <vertAlign val="subscript"/>
        <sz val="9"/>
        <color theme="1"/>
        <rFont val="Calibri"/>
        <family val="2"/>
        <scheme val="minor"/>
      </rPr>
      <t>cW</t>
    </r>
  </si>
  <si>
    <r>
      <t>A</t>
    </r>
    <r>
      <rPr>
        <vertAlign val="subscript"/>
        <sz val="9"/>
        <color theme="1"/>
        <rFont val="Calibri"/>
        <family val="2"/>
        <scheme val="minor"/>
      </rPr>
      <t>c</t>
    </r>
  </si>
  <si>
    <r>
      <t>e</t>
    </r>
    <r>
      <rPr>
        <vertAlign val="superscript"/>
        <sz val="9"/>
        <color theme="1"/>
        <rFont val="Calibri"/>
        <family val="2"/>
        <scheme val="minor"/>
      </rPr>
      <t>-c</t>
    </r>
  </si>
  <si>
    <r>
      <t>(Δp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) </t>
    </r>
    <r>
      <rPr>
        <vertAlign val="subscript"/>
        <sz val="9"/>
        <color theme="1"/>
        <rFont val="Calibri"/>
        <family val="2"/>
        <scheme val="minor"/>
      </rPr>
      <t>JOB</t>
    </r>
  </si>
  <si>
    <r>
      <t>ft</t>
    </r>
    <r>
      <rPr>
        <vertAlign val="superscript"/>
        <sz val="8"/>
        <color theme="1"/>
        <rFont val="Calibri"/>
        <family val="2"/>
        <scheme val="minor"/>
      </rPr>
      <t>2</t>
    </r>
  </si>
  <si>
    <r>
      <rPr>
        <sz val="8"/>
        <color theme="1"/>
        <rFont val="Arial"/>
        <family val="2"/>
      </rPr>
      <t>°</t>
    </r>
    <r>
      <rPr>
        <sz val="8"/>
        <color theme="1"/>
        <rFont val="Calibri"/>
        <family val="2"/>
        <scheme val="minor"/>
      </rPr>
      <t>F</t>
    </r>
  </si>
  <si>
    <r>
      <t>ft</t>
    </r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>/lb</t>
    </r>
  </si>
  <si>
    <r>
      <t>ft H</t>
    </r>
    <r>
      <rPr>
        <vertAlign val="sub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0 /ft</t>
    </r>
  </si>
  <si>
    <r>
      <t>ft H</t>
    </r>
    <r>
      <rPr>
        <vertAlign val="sub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0</t>
    </r>
  </si>
  <si>
    <r>
      <t>q</t>
    </r>
    <r>
      <rPr>
        <vertAlign val="subscript"/>
        <sz val="8"/>
        <color theme="1"/>
        <rFont val="Calibri"/>
        <family val="2"/>
        <scheme val="minor"/>
      </rPr>
      <t>t</t>
    </r>
    <r>
      <rPr>
        <sz val="8"/>
        <color theme="1"/>
        <rFont val="Calibri"/>
        <family val="2"/>
        <scheme val="minor"/>
      </rPr>
      <t xml:space="preserve"> = 60w</t>
    </r>
    <r>
      <rPr>
        <vertAlign val="subscript"/>
        <sz val="8"/>
        <color theme="1"/>
        <rFont val="Calibri"/>
        <family val="2"/>
        <scheme val="minor"/>
      </rPr>
      <t>a</t>
    </r>
    <r>
      <rPr>
        <sz val="8"/>
        <color theme="1"/>
        <rFont val="Calibri"/>
        <family val="2"/>
        <scheme val="minor"/>
      </rPr>
      <t>*(h</t>
    </r>
    <r>
      <rPr>
        <vertAlign val="sub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>-h</t>
    </r>
    <r>
      <rPr>
        <vertAlign val="sub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)</t>
    </r>
  </si>
  <si>
    <r>
      <t>t</t>
    </r>
    <r>
      <rPr>
        <vertAlign val="subscript"/>
        <sz val="8"/>
        <color theme="1"/>
        <rFont val="Calibri"/>
        <family val="2"/>
        <scheme val="minor"/>
      </rPr>
      <t>w2</t>
    </r>
    <r>
      <rPr>
        <sz val="8"/>
        <color theme="1"/>
        <rFont val="Calibri"/>
        <family val="2"/>
        <scheme val="minor"/>
      </rPr>
      <t xml:space="preserve"> = t</t>
    </r>
    <r>
      <rPr>
        <vertAlign val="subscript"/>
        <sz val="8"/>
        <color theme="1"/>
        <rFont val="Calibri"/>
        <family val="2"/>
        <scheme val="minor"/>
      </rPr>
      <t>w1</t>
    </r>
    <r>
      <rPr>
        <sz val="8"/>
        <color theme="1"/>
        <rFont val="Calibri"/>
        <family val="2"/>
        <scheme val="minor"/>
      </rPr>
      <t xml:space="preserve"> + q</t>
    </r>
    <r>
      <rPr>
        <vertAlign val="subscript"/>
        <sz val="8"/>
        <color theme="1"/>
        <rFont val="Calibri"/>
        <family val="2"/>
        <scheme val="minor"/>
      </rPr>
      <t>t</t>
    </r>
    <r>
      <rPr>
        <sz val="8"/>
        <color theme="1"/>
        <rFont val="Calibri"/>
        <family val="2"/>
        <scheme val="minor"/>
      </rPr>
      <t>/w</t>
    </r>
    <r>
      <rPr>
        <vertAlign val="subscript"/>
        <sz val="8"/>
        <color theme="1"/>
        <rFont val="Calibri"/>
        <family val="2"/>
        <scheme val="minor"/>
      </rPr>
      <t>w</t>
    </r>
  </si>
  <si>
    <r>
      <t>w</t>
    </r>
    <r>
      <rPr>
        <vertAlign val="subscript"/>
        <sz val="8"/>
        <color theme="1"/>
        <rFont val="Calibri"/>
        <family val="2"/>
        <scheme val="minor"/>
      </rPr>
      <t>r</t>
    </r>
    <r>
      <rPr>
        <sz val="8"/>
        <color theme="1"/>
        <rFont val="Calibri"/>
        <family val="2"/>
        <scheme val="minor"/>
      </rPr>
      <t>/N</t>
    </r>
    <r>
      <rPr>
        <vertAlign val="subscript"/>
        <sz val="8"/>
        <color theme="1"/>
        <rFont val="Calibri"/>
        <family val="2"/>
        <scheme val="minor"/>
      </rPr>
      <t>c</t>
    </r>
  </si>
  <si>
    <r>
      <t>P</t>
    </r>
    <r>
      <rPr>
        <vertAlign val="subscript"/>
        <sz val="8"/>
        <color theme="1"/>
        <rFont val="Calibri"/>
        <family val="2"/>
        <scheme val="minor"/>
      </rPr>
      <t>rc2</t>
    </r>
    <r>
      <rPr>
        <sz val="8"/>
        <color theme="1"/>
        <rFont val="Calibri"/>
        <family val="2"/>
        <scheme val="minor"/>
      </rPr>
      <t xml:space="preserve"> = P</t>
    </r>
    <r>
      <rPr>
        <vertAlign val="subscript"/>
        <sz val="8"/>
        <color theme="1"/>
        <rFont val="Calibri"/>
        <family val="2"/>
        <scheme val="minor"/>
      </rPr>
      <t>r2</t>
    </r>
    <r>
      <rPr>
        <sz val="8"/>
        <color theme="1"/>
        <rFont val="Calibri"/>
        <family val="2"/>
        <scheme val="minor"/>
      </rPr>
      <t>+(v</t>
    </r>
    <r>
      <rPr>
        <vertAlign val="subscript"/>
        <sz val="8"/>
        <color theme="1"/>
        <rFont val="Calibri"/>
        <family val="2"/>
        <scheme val="minor"/>
      </rPr>
      <t>r2g</t>
    </r>
    <r>
      <rPr>
        <sz val="8"/>
        <color theme="1"/>
        <rFont val="Calibri"/>
        <family val="2"/>
        <scheme val="minor"/>
      </rPr>
      <t>*(ΔP</t>
    </r>
    <r>
      <rPr>
        <vertAlign val="subscript"/>
        <sz val="8"/>
        <color theme="1"/>
        <rFont val="Calibri"/>
        <family val="2"/>
        <scheme val="minor"/>
      </rPr>
      <t>rh</t>
    </r>
    <r>
      <rPr>
        <sz val="8"/>
        <color theme="1"/>
        <rFont val="Calibri"/>
        <family val="2"/>
        <scheme val="minor"/>
      </rPr>
      <t>/v</t>
    </r>
    <r>
      <rPr>
        <vertAlign val="subscript"/>
        <sz val="8"/>
        <color theme="1"/>
        <rFont val="Calibri"/>
        <family val="2"/>
        <scheme val="minor"/>
      </rPr>
      <t>r2g</t>
    </r>
    <r>
      <rPr>
        <sz val="8"/>
        <color theme="1"/>
        <rFont val="Calibri"/>
        <family val="2"/>
        <scheme val="minor"/>
      </rPr>
      <t>))</t>
    </r>
  </si>
  <si>
    <r>
      <t>q</t>
    </r>
    <r>
      <rPr>
        <vertAlign val="subscript"/>
        <sz val="8"/>
        <color theme="1"/>
        <rFont val="Calibri"/>
        <family val="2"/>
        <scheme val="minor"/>
      </rPr>
      <t>t</t>
    </r>
    <r>
      <rPr>
        <sz val="8"/>
        <color theme="1"/>
        <rFont val="Calibri"/>
        <family val="2"/>
        <scheme val="minor"/>
      </rPr>
      <t>/N</t>
    </r>
    <r>
      <rPr>
        <vertAlign val="subscript"/>
        <sz val="8"/>
        <color theme="1"/>
        <rFont val="Calibri"/>
        <family val="2"/>
        <scheme val="minor"/>
      </rPr>
      <t>c</t>
    </r>
  </si>
  <si>
    <r>
      <t>t</t>
    </r>
    <r>
      <rPr>
        <vertAlign val="subscript"/>
        <sz val="8"/>
        <color theme="1"/>
        <rFont val="Calibri"/>
        <family val="2"/>
        <scheme val="minor"/>
      </rPr>
      <t>wm</t>
    </r>
    <r>
      <rPr>
        <sz val="8"/>
        <color theme="1"/>
        <rFont val="Calibri"/>
        <family val="2"/>
        <scheme val="minor"/>
      </rPr>
      <t xml:space="preserve"> = 0.5*(t</t>
    </r>
    <r>
      <rPr>
        <vertAlign val="subscript"/>
        <sz val="8"/>
        <color theme="1"/>
        <rFont val="Calibri"/>
        <family val="2"/>
        <scheme val="minor"/>
      </rPr>
      <t>w1</t>
    </r>
    <r>
      <rPr>
        <sz val="8"/>
        <color theme="1"/>
        <rFont val="Calibri"/>
        <family val="2"/>
        <scheme val="minor"/>
      </rPr>
      <t>+t</t>
    </r>
    <r>
      <rPr>
        <vertAlign val="subscript"/>
        <sz val="8"/>
        <color theme="1"/>
        <rFont val="Calibri"/>
        <family val="2"/>
        <scheme val="minor"/>
      </rPr>
      <t>w2</t>
    </r>
    <r>
      <rPr>
        <sz val="8"/>
        <color theme="1"/>
        <rFont val="Calibri"/>
        <family val="2"/>
        <scheme val="minor"/>
      </rPr>
      <t>)</t>
    </r>
  </si>
  <si>
    <r>
      <t>c</t>
    </r>
    <r>
      <rPr>
        <vertAlign val="subscript"/>
        <sz val="8"/>
        <color theme="1"/>
        <rFont val="Calibri"/>
        <family val="2"/>
        <scheme val="minor"/>
      </rPr>
      <t>pw</t>
    </r>
    <r>
      <rPr>
        <sz val="8"/>
        <color theme="1"/>
        <rFont val="Calibri"/>
        <family val="2"/>
        <scheme val="minor"/>
      </rPr>
      <t>*</t>
    </r>
    <r>
      <rPr>
        <sz val="8"/>
        <color theme="1"/>
        <rFont val="Calibri"/>
        <family val="2"/>
      </rPr>
      <t>μ</t>
    </r>
    <r>
      <rPr>
        <vertAlign val="subscript"/>
        <sz val="8"/>
        <color theme="1"/>
        <rFont val="Calibri"/>
        <family val="2"/>
        <scheme val="minor"/>
      </rPr>
      <t>w</t>
    </r>
    <r>
      <rPr>
        <sz val="8"/>
        <color theme="1"/>
        <rFont val="Calibri"/>
        <family val="2"/>
        <scheme val="minor"/>
      </rPr>
      <t>/k</t>
    </r>
    <r>
      <rPr>
        <vertAlign val="subscript"/>
        <sz val="8"/>
        <color theme="1"/>
        <rFont val="Calibri"/>
        <family val="2"/>
        <scheme val="minor"/>
      </rPr>
      <t>w</t>
    </r>
  </si>
  <si>
    <r>
      <t>(c</t>
    </r>
    <r>
      <rPr>
        <vertAlign val="subscript"/>
        <sz val="8"/>
        <color theme="1"/>
        <rFont val="Calibri"/>
        <family val="2"/>
        <scheme val="minor"/>
      </rPr>
      <t>pw</t>
    </r>
    <r>
      <rPr>
        <sz val="8"/>
        <color theme="1"/>
        <rFont val="Calibri"/>
        <family val="2"/>
        <scheme val="minor"/>
      </rPr>
      <t>*</t>
    </r>
    <r>
      <rPr>
        <sz val="8"/>
        <color theme="1"/>
        <rFont val="Calibri"/>
        <family val="2"/>
      </rPr>
      <t>μ</t>
    </r>
    <r>
      <rPr>
        <vertAlign val="subscript"/>
        <sz val="8"/>
        <color theme="1"/>
        <rFont val="Calibri"/>
        <family val="2"/>
        <scheme val="minor"/>
      </rPr>
      <t>w</t>
    </r>
    <r>
      <rPr>
        <sz val="8"/>
        <color theme="1"/>
        <rFont val="Calibri"/>
        <family val="2"/>
        <scheme val="minor"/>
      </rPr>
      <t>/k</t>
    </r>
    <r>
      <rPr>
        <vertAlign val="subscript"/>
        <sz val="8"/>
        <color theme="1"/>
        <rFont val="Calibri"/>
        <family val="2"/>
        <scheme val="minor"/>
      </rPr>
      <t>w</t>
    </r>
    <r>
      <rPr>
        <sz val="8"/>
        <color theme="1"/>
        <rFont val="Calibri"/>
        <family val="2"/>
        <scheme val="minor"/>
      </rPr>
      <t>)</t>
    </r>
    <r>
      <rPr>
        <vertAlign val="superscript"/>
        <sz val="8"/>
        <color theme="1"/>
        <rFont val="Calibri"/>
        <family val="2"/>
        <scheme val="minor"/>
      </rPr>
      <t>2/3</t>
    </r>
  </si>
  <si>
    <r>
      <t>w</t>
    </r>
    <r>
      <rPr>
        <vertAlign val="subscript"/>
        <sz val="8"/>
        <color theme="1"/>
        <rFont val="Calibri"/>
        <family val="2"/>
        <scheme val="minor"/>
      </rPr>
      <t>w</t>
    </r>
    <r>
      <rPr>
        <sz val="8"/>
        <color theme="1"/>
        <rFont val="Calibri"/>
        <family val="2"/>
        <scheme val="minor"/>
      </rPr>
      <t>/A</t>
    </r>
    <r>
      <rPr>
        <vertAlign val="subscript"/>
        <sz val="8"/>
        <color theme="1"/>
        <rFont val="Calibri"/>
        <family val="2"/>
        <scheme val="minor"/>
      </rPr>
      <t>ix</t>
    </r>
  </si>
  <si>
    <r>
      <t>Re</t>
    </r>
    <r>
      <rPr>
        <vertAlign val="subscript"/>
        <sz val="8"/>
        <color theme="1"/>
        <rFont val="Calibri"/>
        <family val="2"/>
        <scheme val="minor"/>
      </rPr>
      <t>w</t>
    </r>
    <r>
      <rPr>
        <sz val="8"/>
        <color theme="1"/>
        <rFont val="Calibri"/>
        <family val="2"/>
        <scheme val="minor"/>
      </rPr>
      <t xml:space="preserve"> = G</t>
    </r>
    <r>
      <rPr>
        <vertAlign val="subscript"/>
        <sz val="8"/>
        <color theme="1"/>
        <rFont val="Calibri"/>
        <family val="2"/>
        <scheme val="minor"/>
      </rPr>
      <t>w*</t>
    </r>
    <r>
      <rPr>
        <sz val="8"/>
        <color theme="1"/>
        <rFont val="Calibri"/>
        <family val="2"/>
        <scheme val="minor"/>
      </rPr>
      <t>D</t>
    </r>
    <r>
      <rPr>
        <vertAlign val="subscript"/>
        <sz val="8"/>
        <color theme="1"/>
        <rFont val="Calibri"/>
        <family val="2"/>
        <scheme val="minor"/>
      </rPr>
      <t>i</t>
    </r>
    <r>
      <rPr>
        <sz val="8"/>
        <color theme="1"/>
        <rFont val="Calibri"/>
        <family val="2"/>
        <scheme val="minor"/>
      </rPr>
      <t>/(12*</t>
    </r>
    <r>
      <rPr>
        <sz val="8"/>
        <color theme="1"/>
        <rFont val="Calibri"/>
        <family val="2"/>
      </rPr>
      <t>μ</t>
    </r>
    <r>
      <rPr>
        <vertAlign val="subscript"/>
        <sz val="8"/>
        <color theme="1"/>
        <rFont val="Calibri"/>
        <family val="2"/>
      </rPr>
      <t>w</t>
    </r>
    <r>
      <rPr>
        <sz val="8"/>
        <color theme="1"/>
        <rFont val="Calibri"/>
        <family val="2"/>
      </rPr>
      <t>)</t>
    </r>
  </si>
  <si>
    <r>
      <t>j</t>
    </r>
    <r>
      <rPr>
        <vertAlign val="subscript"/>
        <sz val="8"/>
        <color theme="1"/>
        <rFont val="Calibri"/>
        <family val="2"/>
        <scheme val="minor"/>
      </rPr>
      <t>w</t>
    </r>
    <r>
      <rPr>
        <sz val="8"/>
        <color theme="1"/>
        <rFont val="Calibri"/>
        <family val="2"/>
        <scheme val="minor"/>
      </rPr>
      <t>*c</t>
    </r>
    <r>
      <rPr>
        <vertAlign val="subscript"/>
        <sz val="8"/>
        <color theme="1"/>
        <rFont val="Calibri"/>
        <family val="2"/>
        <scheme val="minor"/>
      </rPr>
      <t>pw</t>
    </r>
    <r>
      <rPr>
        <sz val="8"/>
        <color theme="1"/>
        <rFont val="Calibri"/>
        <family val="2"/>
        <scheme val="minor"/>
      </rPr>
      <t>*G</t>
    </r>
    <r>
      <rPr>
        <vertAlign val="subscript"/>
        <sz val="8"/>
        <color theme="1"/>
        <rFont val="Calibri"/>
        <family val="2"/>
        <scheme val="minor"/>
      </rPr>
      <t>w</t>
    </r>
    <r>
      <rPr>
        <sz val="8"/>
        <color theme="1"/>
        <rFont val="Calibri"/>
        <family val="2"/>
        <scheme val="minor"/>
      </rPr>
      <t>/(Pr</t>
    </r>
    <r>
      <rPr>
        <vertAlign val="subscript"/>
        <sz val="8"/>
        <color theme="1"/>
        <rFont val="Calibri"/>
        <family val="2"/>
        <scheme val="minor"/>
      </rPr>
      <t>w</t>
    </r>
    <r>
      <rPr>
        <vertAlign val="superscript"/>
        <sz val="8"/>
        <color theme="1"/>
        <rFont val="Calibri"/>
        <family val="2"/>
        <scheme val="minor"/>
      </rPr>
      <t>2/3</t>
    </r>
    <r>
      <rPr>
        <sz val="8"/>
        <color theme="1"/>
        <rFont val="Calibri"/>
        <family val="2"/>
        <scheme val="minor"/>
      </rPr>
      <t>*</t>
    </r>
    <r>
      <rPr>
        <sz val="8"/>
        <color theme="1"/>
        <rFont val="Calibri"/>
        <family val="2"/>
      </rPr>
      <t>μ</t>
    </r>
    <r>
      <rPr>
        <vertAlign val="subscript"/>
        <sz val="8"/>
        <color theme="1"/>
        <rFont val="Calibri"/>
        <family val="2"/>
      </rPr>
      <t>tw</t>
    </r>
    <r>
      <rPr>
        <sz val="8"/>
        <color theme="1"/>
        <rFont val="Calibri"/>
        <family val="2"/>
        <scheme val="minor"/>
      </rPr>
      <t>/</t>
    </r>
    <r>
      <rPr>
        <sz val="8"/>
        <color theme="1"/>
        <rFont val="Calibri"/>
        <family val="2"/>
      </rPr>
      <t>μ</t>
    </r>
    <r>
      <rPr>
        <vertAlign val="subscript"/>
        <sz val="8"/>
        <color theme="1"/>
        <rFont val="Calibri"/>
        <family val="2"/>
      </rPr>
      <t>w</t>
    </r>
    <r>
      <rPr>
        <vertAlign val="superscript"/>
        <sz val="8"/>
        <color theme="1"/>
        <rFont val="Calibri"/>
        <family val="2"/>
        <scheme val="minor"/>
      </rPr>
      <t>0.14</t>
    </r>
    <r>
      <rPr>
        <sz val="8"/>
        <color theme="1"/>
        <rFont val="Calibri"/>
        <family val="2"/>
        <scheme val="minor"/>
      </rPr>
      <t>)</t>
    </r>
  </si>
  <si>
    <r>
      <t>q</t>
    </r>
    <r>
      <rPr>
        <vertAlign val="subscript"/>
        <sz val="8"/>
        <color theme="1"/>
        <rFont val="Calibri"/>
        <family val="2"/>
        <scheme val="minor"/>
      </rPr>
      <t>tD</t>
    </r>
    <r>
      <rPr>
        <sz val="8"/>
        <color theme="1"/>
        <rFont val="Calibri"/>
        <family val="2"/>
        <scheme val="minor"/>
      </rPr>
      <t xml:space="preserve"> = 60w</t>
    </r>
    <r>
      <rPr>
        <vertAlign val="subscript"/>
        <sz val="8"/>
        <color theme="1"/>
        <rFont val="Calibri"/>
        <family val="2"/>
        <scheme val="minor"/>
      </rPr>
      <t>a</t>
    </r>
    <r>
      <rPr>
        <sz val="8"/>
        <color theme="1"/>
        <rFont val="Calibri"/>
        <family val="2"/>
        <scheme val="minor"/>
      </rPr>
      <t>*(h</t>
    </r>
    <r>
      <rPr>
        <vertAlign val="sub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>-h</t>
    </r>
    <r>
      <rPr>
        <vertAlign val="subscript"/>
        <sz val="8"/>
        <color theme="1"/>
        <rFont val="Calibri"/>
        <family val="2"/>
        <scheme val="minor"/>
      </rPr>
      <t>B</t>
    </r>
    <r>
      <rPr>
        <sz val="8"/>
        <color theme="1"/>
        <rFont val="Calibri"/>
        <family val="2"/>
        <scheme val="minor"/>
      </rPr>
      <t>)</t>
    </r>
  </si>
  <si>
    <t>Total Cross-Sectional Fluid Flow Area, Inside Tubes</t>
  </si>
  <si>
    <r>
      <t>Enthalpy of Refrigerant Entering Coil Control Device                            (From t</t>
    </r>
    <r>
      <rPr>
        <vertAlign val="subscript"/>
        <sz val="9"/>
        <color theme="1"/>
        <rFont val="Calibri"/>
        <family val="2"/>
        <scheme val="minor"/>
      </rPr>
      <t>ro</t>
    </r>
    <r>
      <rPr>
        <sz val="9"/>
        <color theme="1"/>
        <rFont val="Calibri"/>
        <family val="2"/>
        <scheme val="minor"/>
      </rPr>
      <t xml:space="preserve"> and Refrigerant Tables)</t>
    </r>
  </si>
  <si>
    <r>
      <t>Leaving Air Enthalpy If q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 xml:space="preserve"> is known, h</t>
    </r>
    <r>
      <rPr>
        <vertAlign val="sub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= h</t>
    </r>
    <r>
      <rPr>
        <vertAlign val="sub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-(q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/60w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)</t>
    </r>
  </si>
  <si>
    <r>
      <t>Saturated Refrigerant Temperature Leaving Coil Circuit                     (From P</t>
    </r>
    <r>
      <rPr>
        <vertAlign val="subscript"/>
        <sz val="9"/>
        <color theme="1"/>
        <rFont val="Calibri"/>
        <family val="2"/>
        <scheme val="minor"/>
      </rPr>
      <t>rc2</t>
    </r>
    <r>
      <rPr>
        <sz val="9"/>
        <color theme="1"/>
        <rFont val="Calibri"/>
        <family val="2"/>
        <scheme val="minor"/>
      </rPr>
      <t xml:space="preserve"> and refrigerant tables)</t>
    </r>
  </si>
  <si>
    <r>
      <t>Density of Water at Mean Water Temp., t</t>
    </r>
    <r>
      <rPr>
        <vertAlign val="subscript"/>
        <sz val="9"/>
        <color theme="1"/>
        <rFont val="Calibri"/>
        <family val="2"/>
        <scheme val="minor"/>
      </rPr>
      <t>wm</t>
    </r>
  </si>
  <si>
    <r>
      <t>Specific Heat of Water at Mean Water Temp., t</t>
    </r>
    <r>
      <rPr>
        <vertAlign val="subscript"/>
        <sz val="9"/>
        <color theme="1"/>
        <rFont val="Calibri"/>
        <family val="2"/>
        <scheme val="minor"/>
      </rPr>
      <t>wm</t>
    </r>
  </si>
  <si>
    <r>
      <t>Dynamic Viscosity of Water at Mean Water Temp., t</t>
    </r>
    <r>
      <rPr>
        <vertAlign val="subscript"/>
        <sz val="9"/>
        <color theme="1"/>
        <rFont val="Calibri"/>
        <family val="2"/>
        <scheme val="minor"/>
      </rPr>
      <t>wm</t>
    </r>
  </si>
  <si>
    <r>
      <t>Thermal Conductivity of Water at Mean Water Temp., t</t>
    </r>
    <r>
      <rPr>
        <vertAlign val="subscript"/>
        <sz val="9"/>
        <color theme="1"/>
        <rFont val="Calibri"/>
        <family val="2"/>
        <scheme val="minor"/>
      </rPr>
      <t>wm</t>
    </r>
  </si>
  <si>
    <r>
      <t>Prandtl Number of Water at Mean Water Temp, t</t>
    </r>
    <r>
      <rPr>
        <vertAlign val="subscript"/>
        <sz val="9"/>
        <color theme="1"/>
        <rFont val="Calibri"/>
        <family val="2"/>
        <scheme val="minor"/>
      </rPr>
      <t>wm</t>
    </r>
  </si>
  <si>
    <r>
      <t>Mass Velocity of Water at Mean Water Temp., t</t>
    </r>
    <r>
      <rPr>
        <vertAlign val="subscript"/>
        <sz val="9"/>
        <color theme="1"/>
        <rFont val="Calibri"/>
        <family val="2"/>
        <scheme val="minor"/>
      </rPr>
      <t>wm</t>
    </r>
  </si>
  <si>
    <r>
      <t>Reynolds Number of Water at Mean Water Temp., t</t>
    </r>
    <r>
      <rPr>
        <vertAlign val="subscript"/>
        <sz val="9"/>
        <color theme="1"/>
        <rFont val="Calibri"/>
        <family val="2"/>
        <scheme val="minor"/>
      </rPr>
      <t>wm</t>
    </r>
  </si>
  <si>
    <r>
      <t>Enthalpy of Saturated Air at P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 xml:space="preserve"> and t</t>
    </r>
    <r>
      <rPr>
        <vertAlign val="subscript"/>
        <sz val="9"/>
        <color theme="1"/>
        <rFont val="Calibri"/>
        <family val="2"/>
        <scheme val="minor"/>
      </rPr>
      <t>s2</t>
    </r>
  </si>
  <si>
    <r>
      <t>Air-Side Friction at JOB Conditions (constant w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)</t>
    </r>
  </si>
  <si>
    <t>Numerical Input and Formulas</t>
  </si>
  <si>
    <t xml:space="preserve">                                       SUGGESTED FORM FOR RATING CALCULATION PROCEDURE FOR COOLING AND DEHUMIDIFYING COILS (Imperial Units, IP                                              AHRI CERTIFICATION PROGRAM FOR FORCED-CIRCULATION AIR-COOLING AND AIR-HEATING COILS</t>
  </si>
  <si>
    <r>
      <t>ft</t>
    </r>
    <r>
      <rPr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/ft</t>
    </r>
    <r>
      <rPr>
        <vertAlign val="subscript"/>
        <sz val="8"/>
        <rFont val="Calibri"/>
        <family val="2"/>
        <scheme val="minor"/>
      </rPr>
      <t>FA</t>
    </r>
    <r>
      <rPr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-row </t>
    </r>
  </si>
  <si>
    <t>in</t>
  </si>
  <si>
    <t>ft</t>
  </si>
  <si>
    <t>ft/s</t>
  </si>
  <si>
    <t>in Hg abs</t>
  </si>
  <si>
    <r>
      <t>Btu/lb</t>
    </r>
    <r>
      <rPr>
        <sz val="8"/>
        <color theme="1"/>
        <rFont val="Calibri"/>
        <family val="2"/>
      </rPr>
      <t>·°</t>
    </r>
    <r>
      <rPr>
        <sz val="8"/>
        <color theme="1"/>
        <rFont val="Calibri"/>
        <family val="2"/>
        <scheme val="minor"/>
      </rPr>
      <t>F</t>
    </r>
  </si>
  <si>
    <r>
      <t>lb/ft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h</t>
    </r>
  </si>
  <si>
    <r>
      <t>lb/h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</t>
    </r>
    <r>
      <rPr>
        <vertAlign val="superscript"/>
        <sz val="8"/>
        <color theme="1"/>
        <rFont val="Calibri"/>
        <family val="2"/>
        <scheme val="minor"/>
      </rPr>
      <t>2</t>
    </r>
  </si>
  <si>
    <r>
      <t>Btu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ft/ h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</rPr>
      <t>·°</t>
    </r>
    <r>
      <rPr>
        <sz val="8"/>
        <color theme="1"/>
        <rFont val="Calibri"/>
        <family val="2"/>
        <scheme val="minor"/>
      </rPr>
      <t>F</t>
    </r>
  </si>
  <si>
    <r>
      <t>h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</rPr>
      <t>·°</t>
    </r>
    <r>
      <rPr>
        <sz val="8"/>
        <color theme="1"/>
        <rFont val="Calibri"/>
        <family val="2"/>
        <scheme val="minor"/>
      </rPr>
      <t>F /Btu</t>
    </r>
  </si>
  <si>
    <r>
      <t>Btu/ h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</rPr>
      <t>·°</t>
    </r>
    <r>
      <rPr>
        <sz val="8"/>
        <color theme="1"/>
        <rFont val="Calibri"/>
        <family val="2"/>
        <scheme val="minor"/>
      </rPr>
      <t>F</t>
    </r>
  </si>
  <si>
    <r>
      <t>lb</t>
    </r>
    <r>
      <rPr>
        <sz val="8"/>
        <color theme="1"/>
        <rFont val="Calibri"/>
        <family val="2"/>
      </rPr>
      <t>·</t>
    </r>
    <r>
      <rPr>
        <sz val="8"/>
        <color theme="1"/>
        <rFont val="Arial"/>
        <family val="2"/>
      </rPr>
      <t>°</t>
    </r>
    <r>
      <rPr>
        <sz val="8"/>
        <color theme="1"/>
        <rFont val="Calibri"/>
        <family val="2"/>
      </rPr>
      <t>F /Btu</t>
    </r>
  </si>
  <si>
    <r>
      <rPr>
        <sz val="8"/>
        <rFont val="Arial"/>
        <family val="2"/>
      </rPr>
      <t>°</t>
    </r>
    <r>
      <rPr>
        <sz val="8"/>
        <rFont val="Calibri"/>
        <family val="2"/>
        <scheme val="minor"/>
      </rPr>
      <t>F</t>
    </r>
  </si>
  <si>
    <r>
      <t>in H</t>
    </r>
    <r>
      <rPr>
        <vertAlign val="sub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0</t>
    </r>
  </si>
  <si>
    <r>
      <t>in H</t>
    </r>
    <r>
      <rPr>
        <vertAlign val="sub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0 /row</t>
    </r>
  </si>
  <si>
    <r>
      <t>lb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/ in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</rPr>
      <t>·f</t>
    </r>
    <r>
      <rPr>
        <sz val="8"/>
        <color theme="1"/>
        <rFont val="Calibri"/>
        <family val="2"/>
        <scheme val="minor"/>
      </rPr>
      <t>t</t>
    </r>
    <r>
      <rPr>
        <vertAlign val="superscript"/>
        <sz val="8"/>
        <color theme="1"/>
        <rFont val="Calibri"/>
        <family val="2"/>
        <scheme val="minor"/>
      </rPr>
      <t>4</t>
    </r>
  </si>
  <si>
    <r>
      <t>lb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/ in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</rPr>
      <t>·f</t>
    </r>
    <r>
      <rPr>
        <sz val="8"/>
        <color theme="1"/>
        <rFont val="Calibri"/>
        <family val="2"/>
        <scheme val="minor"/>
      </rPr>
      <t>t</t>
    </r>
    <r>
      <rPr>
        <vertAlign val="superscript"/>
        <sz val="8"/>
        <color theme="1"/>
        <rFont val="Calibri"/>
        <family val="2"/>
        <scheme val="minor"/>
      </rPr>
      <t>3</t>
    </r>
  </si>
  <si>
    <r>
      <t>A</t>
    </r>
    <r>
      <rPr>
        <vertAlign val="subscript"/>
        <sz val="8"/>
        <color theme="1"/>
        <rFont val="Calibri"/>
        <family val="2"/>
        <scheme val="minor"/>
      </rPr>
      <t>o</t>
    </r>
    <r>
      <rPr>
        <sz val="8"/>
        <color theme="1"/>
        <rFont val="Calibri"/>
        <family val="2"/>
        <scheme val="minor"/>
      </rPr>
      <t xml:space="preserve"> = (A</t>
    </r>
    <r>
      <rPr>
        <vertAlign val="subscript"/>
        <sz val="8"/>
        <color theme="1"/>
        <rFont val="Calibri"/>
        <family val="2"/>
        <scheme val="minor"/>
      </rPr>
      <t>o</t>
    </r>
    <r>
      <rPr>
        <sz val="8"/>
        <color theme="1"/>
        <rFont val="Calibri"/>
        <family val="2"/>
        <scheme val="minor"/>
      </rPr>
      <t>/(A</t>
    </r>
    <r>
      <rPr>
        <vertAlign val="subscript"/>
        <sz val="8"/>
        <color theme="1"/>
        <rFont val="Calibri"/>
        <family val="2"/>
        <scheme val="minor"/>
      </rPr>
      <t>f</t>
    </r>
    <r>
      <rPr>
        <sz val="8"/>
        <color theme="1"/>
        <rFont val="Calibri"/>
        <family val="2"/>
        <scheme val="minor"/>
      </rPr>
      <t>*N</t>
    </r>
    <r>
      <rPr>
        <vertAlign val="subscript"/>
        <sz val="8"/>
        <color theme="1"/>
        <rFont val="Calibri"/>
        <family val="2"/>
        <scheme val="minor"/>
      </rPr>
      <t>r</t>
    </r>
    <r>
      <rPr>
        <sz val="8"/>
        <color theme="1"/>
        <rFont val="Calibri"/>
        <family val="2"/>
        <scheme val="minor"/>
      </rPr>
      <t>))*A</t>
    </r>
    <r>
      <rPr>
        <vertAlign val="subscript"/>
        <sz val="8"/>
        <color theme="1"/>
        <rFont val="Calibri"/>
        <family val="2"/>
        <scheme val="minor"/>
      </rPr>
      <t>f</t>
    </r>
    <r>
      <rPr>
        <sz val="8"/>
        <color theme="1"/>
        <rFont val="Calibri"/>
        <family val="2"/>
        <scheme val="minor"/>
      </rPr>
      <t>*N</t>
    </r>
    <r>
      <rPr>
        <vertAlign val="subscript"/>
        <sz val="8"/>
        <color theme="1"/>
        <rFont val="Calibri"/>
        <family val="2"/>
        <scheme val="minor"/>
      </rPr>
      <t>r</t>
    </r>
  </si>
  <si>
    <r>
      <t>A</t>
    </r>
    <r>
      <rPr>
        <vertAlign val="subscript"/>
        <sz val="9"/>
        <rFont val="Calibri"/>
        <family val="2"/>
        <scheme val="minor"/>
      </rPr>
      <t>o</t>
    </r>
    <r>
      <rPr>
        <sz val="9"/>
        <rFont val="Calibri"/>
        <family val="2"/>
        <scheme val="minor"/>
      </rPr>
      <t>/(A</t>
    </r>
    <r>
      <rPr>
        <vertAlign val="subscript"/>
        <sz val="9"/>
        <rFont val="Calibri"/>
        <family val="2"/>
        <scheme val="minor"/>
      </rPr>
      <t>f</t>
    </r>
    <r>
      <rPr>
        <sz val="9"/>
        <rFont val="Calibri"/>
        <family val="2"/>
        <scheme val="minor"/>
      </rPr>
      <t>*N</t>
    </r>
    <r>
      <rPr>
        <vertAlign val="subscript"/>
        <sz val="9"/>
        <rFont val="Calibri"/>
        <family val="2"/>
        <scheme val="minor"/>
      </rPr>
      <t>r</t>
    </r>
    <r>
      <rPr>
        <sz val="9"/>
        <rFont val="Calibri"/>
        <family val="2"/>
        <scheme val="minor"/>
      </rPr>
      <t>)</t>
    </r>
  </si>
  <si>
    <t>x</t>
  </si>
  <si>
    <r>
      <t>L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/D</t>
    </r>
    <r>
      <rPr>
        <vertAlign val="subscript"/>
        <sz val="9"/>
        <color theme="1"/>
        <rFont val="Calibri"/>
        <family val="2"/>
        <scheme val="minor"/>
      </rPr>
      <t>i</t>
    </r>
  </si>
  <si>
    <t>Straight Tube Length per Pass/Tube Diameter</t>
  </si>
  <si>
    <r>
      <t>Q</t>
    </r>
    <r>
      <rPr>
        <vertAlign val="subscript"/>
        <sz val="9"/>
        <rFont val="Calibri"/>
        <family val="2"/>
        <scheme val="minor"/>
      </rPr>
      <t>aSTD</t>
    </r>
  </si>
  <si>
    <r>
      <t>A</t>
    </r>
    <r>
      <rPr>
        <vertAlign val="subscript"/>
        <sz val="9"/>
        <rFont val="Calibri"/>
        <family val="2"/>
        <scheme val="minor"/>
      </rPr>
      <t>ix</t>
    </r>
    <r>
      <rPr>
        <sz val="9"/>
        <rFont val="Calibri"/>
        <family val="2"/>
        <scheme val="minor"/>
      </rPr>
      <t xml:space="preserve"> = </t>
    </r>
    <r>
      <rPr>
        <sz val="9"/>
        <rFont val="Calibri"/>
        <family val="2"/>
      </rPr>
      <t>π</t>
    </r>
    <r>
      <rPr>
        <sz val="9.9"/>
        <rFont val="Calibri"/>
        <family val="2"/>
      </rPr>
      <t>/4*(</t>
    </r>
    <r>
      <rPr>
        <sz val="9"/>
        <rFont val="Calibri"/>
        <family val="2"/>
        <scheme val="minor"/>
      </rPr>
      <t>D</t>
    </r>
    <r>
      <rPr>
        <vertAlign val="subscript"/>
        <sz val="9"/>
        <rFont val="Calibri"/>
        <family val="2"/>
        <scheme val="minor"/>
      </rPr>
      <t>i</t>
    </r>
    <r>
      <rPr>
        <sz val="9"/>
        <rFont val="Calibri"/>
        <family val="2"/>
        <scheme val="minor"/>
      </rPr>
      <t>/12)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*N</t>
    </r>
    <r>
      <rPr>
        <vertAlign val="subscript"/>
        <sz val="9"/>
        <rFont val="Calibri"/>
        <family val="2"/>
        <scheme val="minor"/>
      </rPr>
      <t>c</t>
    </r>
  </si>
  <si>
    <r>
      <t>ft</t>
    </r>
    <r>
      <rPr>
        <vertAlign val="superscript"/>
        <sz val="8"/>
        <rFont val="Calibri"/>
        <family val="2"/>
        <scheme val="minor"/>
      </rPr>
      <t>2</t>
    </r>
  </si>
  <si>
    <r>
      <t>t</t>
    </r>
    <r>
      <rPr>
        <vertAlign val="subscript"/>
        <sz val="9"/>
        <rFont val="Calibri"/>
        <family val="2"/>
        <scheme val="minor"/>
      </rPr>
      <t>1db</t>
    </r>
  </si>
  <si>
    <r>
      <t>t</t>
    </r>
    <r>
      <rPr>
        <vertAlign val="subscript"/>
        <sz val="9"/>
        <rFont val="Calibri"/>
        <family val="2"/>
        <scheme val="minor"/>
      </rPr>
      <t>1wb</t>
    </r>
  </si>
  <si>
    <r>
      <t>t</t>
    </r>
    <r>
      <rPr>
        <vertAlign val="subscript"/>
        <sz val="9"/>
        <rFont val="Calibri"/>
        <family val="2"/>
        <scheme val="minor"/>
      </rPr>
      <t>r2g</t>
    </r>
  </si>
  <si>
    <r>
      <t>t</t>
    </r>
    <r>
      <rPr>
        <vertAlign val="subscript"/>
        <sz val="9"/>
        <rFont val="Calibri"/>
        <family val="2"/>
        <scheme val="minor"/>
      </rPr>
      <t>r2</t>
    </r>
  </si>
  <si>
    <r>
      <t>t</t>
    </r>
    <r>
      <rPr>
        <vertAlign val="subscript"/>
        <sz val="9"/>
        <rFont val="Calibri"/>
        <family val="2"/>
        <scheme val="minor"/>
      </rPr>
      <t>r0</t>
    </r>
  </si>
  <si>
    <t xml:space="preserve">Liquid Refrigerant Temp Entering the Coil Control Device                            </t>
  </si>
  <si>
    <r>
      <t>h</t>
    </r>
    <r>
      <rPr>
        <vertAlign val="subscript"/>
        <sz val="9"/>
        <rFont val="Calibri"/>
        <family val="2"/>
        <scheme val="minor"/>
      </rPr>
      <t>r0</t>
    </r>
  </si>
  <si>
    <r>
      <t>60w</t>
    </r>
    <r>
      <rPr>
        <vertAlign val="subscript"/>
        <sz val="8"/>
        <rFont val="Calibri"/>
        <family val="2"/>
        <scheme val="minor"/>
      </rPr>
      <t>a</t>
    </r>
    <r>
      <rPr>
        <sz val="8"/>
        <rFont val="Calibri"/>
        <family val="2"/>
        <scheme val="minor"/>
      </rPr>
      <t xml:space="preserve"> = 4.50*Q</t>
    </r>
    <r>
      <rPr>
        <vertAlign val="subscript"/>
        <sz val="8"/>
        <rFont val="Calibri"/>
        <family val="2"/>
        <scheme val="minor"/>
      </rPr>
      <t>aSTD</t>
    </r>
  </si>
  <si>
    <r>
      <t>t</t>
    </r>
    <r>
      <rPr>
        <vertAlign val="subscript"/>
        <sz val="9"/>
        <rFont val="Calibri"/>
        <family val="2"/>
        <scheme val="minor"/>
      </rPr>
      <t>2wb</t>
    </r>
  </si>
  <si>
    <t>Total Heat Transfer Capacity of Coil                                       (Enter numerical value if known. If not known, assume a numerical value for a trial and error solution.)</t>
  </si>
  <si>
    <t>Estimate of Water Side Film Heat Transfer Coefficient</t>
  </si>
  <si>
    <r>
      <t>Estimate Dynamic Viscosity Ratio (VR</t>
    </r>
    <r>
      <rPr>
        <vertAlign val="subscript"/>
        <sz val="9"/>
        <color theme="1"/>
        <rFont val="Calibri"/>
        <family val="2"/>
        <scheme val="minor"/>
      </rPr>
      <t>init</t>
    </r>
    <r>
      <rPr>
        <sz val="9"/>
        <color theme="1"/>
        <rFont val="Calibri"/>
        <family val="2"/>
        <scheme val="minor"/>
      </rPr>
      <t>)   For air-cooling coils with water use initial estimate of 0.98</t>
    </r>
    <r>
      <rPr>
        <strike/>
        <sz val="9"/>
        <color rgb="FFFF0000"/>
        <rFont val="Calibri"/>
        <family val="2"/>
        <scheme val="minor"/>
      </rPr>
      <t xml:space="preserve"> </t>
    </r>
  </si>
  <si>
    <r>
      <t>f</t>
    </r>
    <r>
      <rPr>
        <vertAlign val="subscript"/>
        <sz val="9"/>
        <color theme="1"/>
        <rFont val="Calibri"/>
        <family val="2"/>
        <scheme val="minor"/>
      </rPr>
      <t>w</t>
    </r>
  </si>
  <si>
    <r>
      <t>R</t>
    </r>
    <r>
      <rPr>
        <vertAlign val="subscript"/>
        <sz val="9"/>
        <color theme="1"/>
        <rFont val="Calibri"/>
        <family val="2"/>
        <scheme val="minor"/>
      </rPr>
      <t>w</t>
    </r>
  </si>
  <si>
    <r>
      <t>R</t>
    </r>
    <r>
      <rPr>
        <vertAlign val="subscript"/>
        <sz val="9"/>
        <color theme="1"/>
        <rFont val="Calibri"/>
        <family val="2"/>
        <scheme val="minor"/>
      </rPr>
      <t>r</t>
    </r>
  </si>
  <si>
    <t xml:space="preserve">Estimate of Tube Side Film Thermal Resistance: </t>
  </si>
  <si>
    <r>
      <t>V</t>
    </r>
    <r>
      <rPr>
        <vertAlign val="subscript"/>
        <sz val="8"/>
        <rFont val="Calibri"/>
        <family val="2"/>
        <scheme val="minor"/>
      </rPr>
      <t>a</t>
    </r>
    <r>
      <rPr>
        <sz val="8"/>
        <rFont val="Calibri"/>
        <family val="2"/>
        <scheme val="minor"/>
      </rPr>
      <t xml:space="preserve"> = Q</t>
    </r>
    <r>
      <rPr>
        <vertAlign val="subscript"/>
        <sz val="8"/>
        <rFont val="Calibri"/>
        <family val="2"/>
        <scheme val="minor"/>
      </rPr>
      <t>aSTD</t>
    </r>
    <r>
      <rPr>
        <sz val="8"/>
        <rFont val="Calibri"/>
        <family val="2"/>
        <scheme val="minor"/>
      </rPr>
      <t>/A</t>
    </r>
    <r>
      <rPr>
        <vertAlign val="subscript"/>
        <sz val="8"/>
        <rFont val="Calibri"/>
        <family val="2"/>
        <scheme val="minor"/>
      </rPr>
      <t>f</t>
    </r>
  </si>
  <si>
    <r>
      <t>w</t>
    </r>
    <r>
      <rPr>
        <vertAlign val="subscript"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 xml:space="preserve"> = 62.361*3600(A</t>
    </r>
    <r>
      <rPr>
        <vertAlign val="subscript"/>
        <sz val="9"/>
        <rFont val="Calibri"/>
        <family val="2"/>
        <scheme val="minor"/>
      </rPr>
      <t>ix</t>
    </r>
    <r>
      <rPr>
        <sz val="9"/>
        <rFont val="Calibri"/>
        <family val="2"/>
        <scheme val="minor"/>
      </rPr>
      <t>*V</t>
    </r>
    <r>
      <rPr>
        <vertAlign val="subscript"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>)</t>
    </r>
  </si>
  <si>
    <t>std. ft/min</t>
  </si>
  <si>
    <r>
      <t>Absolute Pressure of Refrigerant at Coil Outlet                                   (From refrigerant tables with t</t>
    </r>
    <r>
      <rPr>
        <vertAlign val="subscript"/>
        <sz val="9"/>
        <rFont val="Calibri"/>
        <family val="2"/>
        <scheme val="minor"/>
      </rPr>
      <t>r2g</t>
    </r>
    <r>
      <rPr>
        <sz val="9"/>
        <rFont val="Calibri"/>
        <family val="2"/>
        <scheme val="minor"/>
      </rPr>
      <t>)</t>
    </r>
  </si>
  <si>
    <r>
      <t>Enthalpy of Saturated Refrigerant Vapor at Coil Outlet Pressure  (From refrigerant tables with t</t>
    </r>
    <r>
      <rPr>
        <vertAlign val="subscript"/>
        <sz val="9"/>
        <rFont val="Calibri"/>
        <family val="2"/>
        <scheme val="minor"/>
      </rPr>
      <t>r2g</t>
    </r>
    <r>
      <rPr>
        <sz val="9"/>
        <rFont val="Calibri"/>
        <family val="2"/>
        <scheme val="minor"/>
      </rPr>
      <t>. Assumed saturation for rating convenience)</t>
    </r>
  </si>
  <si>
    <r>
      <t>v</t>
    </r>
    <r>
      <rPr>
        <vertAlign val="subscript"/>
        <sz val="9"/>
        <rFont val="Calibri"/>
        <family val="2"/>
        <scheme val="minor"/>
      </rPr>
      <t>r2g</t>
    </r>
  </si>
  <si>
    <r>
      <t>P</t>
    </r>
    <r>
      <rPr>
        <vertAlign val="subscript"/>
        <sz val="8"/>
        <rFont val="Calibri"/>
        <family val="2"/>
        <scheme val="minor"/>
      </rPr>
      <t>r1</t>
    </r>
    <r>
      <rPr>
        <sz val="8"/>
        <rFont val="Calibri"/>
        <family val="2"/>
        <scheme val="minor"/>
      </rPr>
      <t xml:space="preserve"> =P</t>
    </r>
    <r>
      <rPr>
        <vertAlign val="subscript"/>
        <sz val="8"/>
        <rFont val="Calibri"/>
        <family val="2"/>
        <scheme val="minor"/>
      </rPr>
      <t>r2</t>
    </r>
    <r>
      <rPr>
        <sz val="8"/>
        <rFont val="Calibri"/>
        <family val="2"/>
        <scheme val="minor"/>
      </rPr>
      <t>+(v</t>
    </r>
    <r>
      <rPr>
        <vertAlign val="subscript"/>
        <sz val="8"/>
        <rFont val="Calibri"/>
        <family val="2"/>
        <scheme val="minor"/>
      </rPr>
      <t>r2g</t>
    </r>
    <r>
      <rPr>
        <sz val="8"/>
        <rFont val="Calibri"/>
        <family val="2"/>
        <scheme val="minor"/>
      </rPr>
      <t>)(L</t>
    </r>
    <r>
      <rPr>
        <vertAlign val="sub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>*(ΔP</t>
    </r>
    <r>
      <rPr>
        <vertAlign val="subscript"/>
        <sz val="8"/>
        <rFont val="Calibri"/>
        <family val="2"/>
        <scheme val="minor"/>
      </rPr>
      <t>rc</t>
    </r>
    <r>
      <rPr>
        <sz val="8"/>
        <rFont val="Calibri"/>
        <family val="2"/>
        <scheme val="minor"/>
      </rPr>
      <t>/( L</t>
    </r>
    <r>
      <rPr>
        <vertAlign val="subscript"/>
        <sz val="8"/>
        <rFont val="Calibri"/>
        <family val="2"/>
        <scheme val="minor"/>
      </rPr>
      <t>e*</t>
    </r>
    <r>
      <rPr>
        <sz val="8"/>
        <rFont val="Calibri"/>
        <family val="2"/>
        <scheme val="minor"/>
      </rPr>
      <t>v</t>
    </r>
    <r>
      <rPr>
        <vertAlign val="subscript"/>
        <sz val="8"/>
        <rFont val="Calibri"/>
        <family val="2"/>
        <scheme val="minor"/>
      </rPr>
      <t>r2g</t>
    </r>
    <r>
      <rPr>
        <sz val="8"/>
        <rFont val="Calibri"/>
        <family val="2"/>
        <scheme val="minor"/>
      </rPr>
      <t>))+ΔP</t>
    </r>
    <r>
      <rPr>
        <vertAlign val="subscript"/>
        <sz val="8"/>
        <rFont val="Calibri"/>
        <family val="2"/>
        <scheme val="minor"/>
      </rPr>
      <t>rh</t>
    </r>
    <r>
      <rPr>
        <sz val="8"/>
        <rFont val="Calibri"/>
        <family val="2"/>
        <scheme val="minor"/>
      </rPr>
      <t>/v</t>
    </r>
    <r>
      <rPr>
        <vertAlign val="subscript"/>
        <sz val="8"/>
        <rFont val="Calibri"/>
        <family val="2"/>
        <scheme val="minor"/>
      </rPr>
      <t>r2g</t>
    </r>
    <r>
      <rPr>
        <sz val="8"/>
        <rFont val="Calibri"/>
        <family val="2"/>
        <scheme val="minor"/>
      </rPr>
      <t>)</t>
    </r>
  </si>
  <si>
    <r>
      <t>t</t>
    </r>
    <r>
      <rPr>
        <vertAlign val="subscript"/>
        <sz val="9"/>
        <rFont val="Calibri"/>
        <family val="2"/>
        <scheme val="minor"/>
      </rPr>
      <t>rc2g</t>
    </r>
  </si>
  <si>
    <r>
      <t>Refrigerant Temperature Entering Coil Circuits (From refrigerant charts or NIST data with P</t>
    </r>
    <r>
      <rPr>
        <vertAlign val="subscript"/>
        <sz val="9"/>
        <color theme="1"/>
        <rFont val="Calibri"/>
        <family val="2"/>
        <scheme val="minor"/>
      </rPr>
      <t>r1</t>
    </r>
    <r>
      <rPr>
        <sz val="9"/>
        <color theme="1"/>
        <rFont val="Calibri"/>
        <family val="2"/>
        <scheme val="minor"/>
      </rPr>
      <t xml:space="preserve"> and h</t>
    </r>
    <r>
      <rPr>
        <vertAlign val="subscript"/>
        <sz val="9"/>
        <color theme="1"/>
        <rFont val="Calibri"/>
        <family val="2"/>
        <scheme val="minor"/>
      </rPr>
      <t>r0</t>
    </r>
    <r>
      <rPr>
        <sz val="9"/>
        <color theme="1"/>
        <rFont val="Calibri"/>
        <family val="2"/>
        <scheme val="minor"/>
      </rPr>
      <t>)</t>
    </r>
  </si>
  <si>
    <r>
      <t>= B(1/f</t>
    </r>
    <r>
      <rPr>
        <vertAlign val="subscript"/>
        <sz val="8"/>
        <color theme="1"/>
        <rFont val="Calibri"/>
        <family val="2"/>
        <scheme val="minor"/>
      </rPr>
      <t xml:space="preserve">w </t>
    </r>
    <r>
      <rPr>
        <sz val="8"/>
        <color theme="1"/>
        <rFont val="Calibri"/>
        <family val="2"/>
        <scheme val="minor"/>
      </rPr>
      <t>+ R</t>
    </r>
    <r>
      <rPr>
        <vertAlign val="subscript"/>
        <sz val="8"/>
        <color theme="1"/>
        <rFont val="Calibri"/>
        <family val="2"/>
        <scheme val="minor"/>
      </rPr>
      <t>ffa</t>
    </r>
    <r>
      <rPr>
        <sz val="8"/>
        <color theme="1"/>
        <rFont val="Calibri"/>
        <family val="2"/>
        <scheme val="minor"/>
      </rPr>
      <t>)</t>
    </r>
  </si>
  <si>
    <r>
      <t>R</t>
    </r>
    <r>
      <rPr>
        <vertAlign val="subscript"/>
        <sz val="9"/>
        <rFont val="Calibri"/>
        <family val="2"/>
        <scheme val="minor"/>
      </rPr>
      <t>ffa</t>
    </r>
  </si>
  <si>
    <r>
      <t>t</t>
    </r>
    <r>
      <rPr>
        <vertAlign val="subscript"/>
        <sz val="9"/>
        <rFont val="Calibri"/>
        <family val="2"/>
        <scheme val="minor"/>
      </rPr>
      <t>1dp</t>
    </r>
  </si>
  <si>
    <r>
      <t>p</t>
    </r>
    <r>
      <rPr>
        <vertAlign val="subscript"/>
        <sz val="9"/>
        <rFont val="Calibri"/>
        <family val="2"/>
        <scheme val="minor"/>
      </rPr>
      <t>v</t>
    </r>
    <r>
      <rPr>
        <sz val="9"/>
        <rFont val="Calibri"/>
        <family val="2"/>
        <scheme val="minor"/>
      </rPr>
      <t>, IP = p'-[((p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-p')*(t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1wb</t>
    </r>
    <r>
      <rPr>
        <sz val="9"/>
        <rFont val="Calibri"/>
        <family val="2"/>
        <scheme val="minor"/>
      </rPr>
      <t>))/(2830-(1.44*t</t>
    </r>
    <r>
      <rPr>
        <vertAlign val="subscript"/>
        <sz val="9"/>
        <rFont val="Calibri"/>
        <family val="2"/>
        <scheme val="minor"/>
      </rPr>
      <t>1wb</t>
    </r>
    <r>
      <rPr>
        <sz val="9"/>
        <rFont val="Calibri"/>
        <family val="2"/>
        <scheme val="minor"/>
      </rPr>
      <t>))]</t>
    </r>
  </si>
  <si>
    <r>
      <t>h</t>
    </r>
    <r>
      <rPr>
        <vertAlign val="subscript"/>
        <sz val="9"/>
        <rFont val="Calibri"/>
        <family val="2"/>
        <scheme val="minor"/>
      </rPr>
      <t>1dp</t>
    </r>
  </si>
  <si>
    <r>
      <t>(t</t>
    </r>
    <r>
      <rPr>
        <vertAlign val="subscript"/>
        <sz val="8"/>
        <rFont val="Calibri"/>
        <family val="2"/>
        <scheme val="minor"/>
      </rPr>
      <t>1dp</t>
    </r>
    <r>
      <rPr>
        <sz val="8"/>
        <rFont val="Calibri"/>
        <family val="2"/>
        <scheme val="minor"/>
      </rPr>
      <t>-t</t>
    </r>
    <r>
      <rPr>
        <vertAlign val="subscript"/>
        <sz val="8"/>
        <rFont val="Calibri"/>
        <family val="2"/>
        <scheme val="minor"/>
      </rPr>
      <t>w2</t>
    </r>
    <r>
      <rPr>
        <sz val="8"/>
        <rFont val="Calibri"/>
        <family val="2"/>
        <scheme val="minor"/>
      </rPr>
      <t>+(y*h</t>
    </r>
    <r>
      <rPr>
        <vertAlign val="sub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>)+(C*h</t>
    </r>
    <r>
      <rPr>
        <vertAlign val="subscript"/>
        <sz val="8"/>
        <rFont val="Calibri"/>
        <family val="2"/>
        <scheme val="minor"/>
      </rPr>
      <t>1dp</t>
    </r>
    <r>
      <rPr>
        <sz val="8"/>
        <rFont val="Calibri"/>
        <family val="2"/>
        <scheme val="minor"/>
      </rPr>
      <t>))/(C+y)</t>
    </r>
  </si>
  <si>
    <r>
      <t>(t</t>
    </r>
    <r>
      <rPr>
        <vertAlign val="subscript"/>
        <sz val="8"/>
        <rFont val="Calibri"/>
        <family val="2"/>
        <scheme val="minor"/>
      </rPr>
      <t>1dp</t>
    </r>
    <r>
      <rPr>
        <sz val="8"/>
        <rFont val="Calibri"/>
        <family val="2"/>
        <scheme val="minor"/>
      </rPr>
      <t>-t</t>
    </r>
    <r>
      <rPr>
        <vertAlign val="subscript"/>
        <sz val="8"/>
        <rFont val="Calibri"/>
        <family val="2"/>
        <scheme val="minor"/>
      </rPr>
      <t>r1</t>
    </r>
    <r>
      <rPr>
        <sz val="8"/>
        <rFont val="Calibri"/>
        <family val="2"/>
        <scheme val="minor"/>
      </rPr>
      <t>+(y*h</t>
    </r>
    <r>
      <rPr>
        <vertAlign val="sub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>)+(C*h</t>
    </r>
    <r>
      <rPr>
        <vertAlign val="subscript"/>
        <sz val="8"/>
        <rFont val="Calibri"/>
        <family val="2"/>
        <scheme val="minor"/>
      </rPr>
      <t>1dp</t>
    </r>
    <r>
      <rPr>
        <sz val="8"/>
        <rFont val="Calibri"/>
        <family val="2"/>
        <scheme val="minor"/>
      </rPr>
      <t>))/(C+y)</t>
    </r>
  </si>
  <si>
    <r>
      <t>Saturated Suction Refrigerant Temp at Coil Outlet                (Note: For rating convenience, it is assumed that there is no temp drop from coil circuits to coil outlet  t</t>
    </r>
    <r>
      <rPr>
        <vertAlign val="subscript"/>
        <sz val="9"/>
        <rFont val="Calibri"/>
        <family val="2"/>
        <scheme val="minor"/>
      </rPr>
      <t>rc2g</t>
    </r>
    <r>
      <rPr>
        <sz val="9"/>
        <rFont val="Calibri"/>
        <family val="2"/>
        <scheme val="minor"/>
      </rPr>
      <t xml:space="preserve"> = t</t>
    </r>
    <r>
      <rPr>
        <vertAlign val="subscript"/>
        <sz val="9"/>
        <rFont val="Calibri"/>
        <family val="2"/>
        <scheme val="minor"/>
      </rPr>
      <t>r2g</t>
    </r>
    <r>
      <rPr>
        <sz val="9"/>
        <rFont val="Calibri"/>
        <family val="2"/>
        <scheme val="minor"/>
      </rPr>
      <t>)</t>
    </r>
  </si>
  <si>
    <r>
      <t>Entering Air Enthalpy  (Using t</t>
    </r>
    <r>
      <rPr>
        <vertAlign val="subscript"/>
        <sz val="9"/>
        <color theme="1"/>
        <rFont val="Calibri"/>
        <family val="2"/>
        <scheme val="minor"/>
      </rPr>
      <t>1db</t>
    </r>
    <r>
      <rPr>
        <sz val="9"/>
        <color theme="1"/>
        <rFont val="Calibri"/>
        <family val="2"/>
        <scheme val="minor"/>
      </rPr>
      <t>, t</t>
    </r>
    <r>
      <rPr>
        <vertAlign val="subscript"/>
        <sz val="9"/>
        <color theme="1"/>
        <rFont val="Calibri"/>
        <family val="2"/>
        <scheme val="minor"/>
      </rPr>
      <t>1wb</t>
    </r>
    <r>
      <rPr>
        <sz val="9"/>
        <color theme="1"/>
        <rFont val="Calibri"/>
        <family val="2"/>
        <scheme val="minor"/>
      </rPr>
      <t>, and P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 xml:space="preserve"> )</t>
    </r>
  </si>
  <si>
    <r>
      <t>w</t>
    </r>
    <r>
      <rPr>
        <vertAlign val="subscript"/>
        <sz val="9"/>
        <rFont val="Calibri"/>
        <family val="2"/>
        <scheme val="minor"/>
      </rPr>
      <t>r</t>
    </r>
    <r>
      <rPr>
        <sz val="9"/>
        <rFont val="Calibri"/>
        <family val="2"/>
        <scheme val="minor"/>
      </rPr>
      <t xml:space="preserve"> = q</t>
    </r>
    <r>
      <rPr>
        <vertAlign val="subscript"/>
        <sz val="9"/>
        <rFont val="Calibri"/>
        <family val="2"/>
        <scheme val="minor"/>
      </rPr>
      <t>t</t>
    </r>
    <r>
      <rPr>
        <sz val="9"/>
        <rFont val="Calibri"/>
        <family val="2"/>
        <scheme val="minor"/>
      </rPr>
      <t>/(h</t>
    </r>
    <r>
      <rPr>
        <vertAlign val="subscript"/>
        <sz val="9"/>
        <rFont val="Calibri"/>
        <family val="2"/>
        <scheme val="minor"/>
      </rPr>
      <t>r2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r0</t>
    </r>
    <r>
      <rPr>
        <sz val="9"/>
        <rFont val="Calibri"/>
        <family val="2"/>
        <scheme val="minor"/>
      </rPr>
      <t>)</t>
    </r>
  </si>
  <si>
    <r>
      <t>For Volatile Refrig Coils (Obtain R</t>
    </r>
    <r>
      <rPr>
        <vertAlign val="subscript"/>
        <sz val="9"/>
        <color theme="1"/>
        <rFont val="Calibri"/>
        <family val="2"/>
        <scheme val="minor"/>
      </rPr>
      <t>r</t>
    </r>
    <r>
      <rPr>
        <sz val="9"/>
        <color theme="1"/>
        <rFont val="Calibri"/>
        <family val="2"/>
        <scheme val="minor"/>
      </rPr>
      <t>/B from Fig. 6 with qt/Nc)</t>
    </r>
  </si>
  <si>
    <t>Rr = (Rr/B) * B</t>
  </si>
  <si>
    <t>Cold Water</t>
  </si>
  <si>
    <t>Volatile Refrigerant</t>
  </si>
  <si>
    <r>
      <t xml:space="preserve">   C = (R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+R</t>
    </r>
    <r>
      <rPr>
        <vertAlign val="subscript"/>
        <sz val="9"/>
        <color theme="1"/>
        <rFont val="Calibri"/>
        <family val="2"/>
        <scheme val="minor"/>
      </rPr>
      <t>mD</t>
    </r>
    <r>
      <rPr>
        <sz val="9"/>
        <color theme="1"/>
        <rFont val="Calibri"/>
        <family val="2"/>
        <scheme val="minor"/>
      </rPr>
      <t>)/(0.243*R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>)</t>
    </r>
  </si>
  <si>
    <r>
      <t xml:space="preserve">    C = (R</t>
    </r>
    <r>
      <rPr>
        <vertAlign val="subscript"/>
        <sz val="9"/>
        <color theme="1"/>
        <rFont val="Calibri"/>
        <family val="2"/>
        <scheme val="minor"/>
      </rPr>
      <t>r</t>
    </r>
    <r>
      <rPr>
        <sz val="9"/>
        <color theme="1"/>
        <rFont val="Calibri"/>
        <family val="2"/>
        <scheme val="minor"/>
      </rPr>
      <t>+R</t>
    </r>
    <r>
      <rPr>
        <vertAlign val="subscript"/>
        <sz val="9"/>
        <color theme="1"/>
        <rFont val="Calibri"/>
        <family val="2"/>
        <scheme val="minor"/>
      </rPr>
      <t>mD</t>
    </r>
    <r>
      <rPr>
        <sz val="9"/>
        <color theme="1"/>
        <rFont val="Calibri"/>
        <family val="2"/>
        <scheme val="minor"/>
      </rPr>
      <t>)/(0.243*R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 xml:space="preserve">)  </t>
    </r>
  </si>
  <si>
    <r>
      <t>y = (t</t>
    </r>
    <r>
      <rPr>
        <vertAlign val="subscript"/>
        <sz val="9"/>
        <rFont val="Calibri"/>
        <family val="2"/>
        <scheme val="minor"/>
      </rPr>
      <t xml:space="preserve">w2 </t>
    </r>
    <r>
      <rPr>
        <sz val="9"/>
        <rFont val="Calibri"/>
        <family val="2"/>
        <scheme val="minor"/>
      </rPr>
      <t>- t</t>
    </r>
    <r>
      <rPr>
        <vertAlign val="subscript"/>
        <sz val="9"/>
        <rFont val="Calibri"/>
        <family val="2"/>
        <scheme val="minor"/>
      </rPr>
      <t>w1</t>
    </r>
    <r>
      <rPr>
        <sz val="9"/>
        <rFont val="Calibri"/>
        <family val="2"/>
        <scheme val="minor"/>
      </rPr>
      <t>)/(h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)</t>
    </r>
  </si>
  <si>
    <t>Volatile  Refrigerant (Thermal Counterflow)</t>
  </si>
  <si>
    <r>
      <t>Specific Volume of Saturated Refrigerant Vapor at Coil Outlet Pressure                                                                              (From refrigerant tables with t</t>
    </r>
    <r>
      <rPr>
        <vertAlign val="subscript"/>
        <sz val="9"/>
        <rFont val="Calibri"/>
        <family val="2"/>
        <scheme val="minor"/>
      </rPr>
      <t>r2g</t>
    </r>
    <r>
      <rPr>
        <sz val="9"/>
        <rFont val="Calibri"/>
        <family val="2"/>
        <scheme val="minor"/>
      </rPr>
      <t>. Assumed saturation for rating convenience)</t>
    </r>
  </si>
  <si>
    <r>
      <t>Approximate Coil Characteristic                *The approx value of C is used only to obtain the final value of R</t>
    </r>
    <r>
      <rPr>
        <vertAlign val="subscript"/>
        <sz val="9"/>
        <rFont val="Calibri"/>
        <family val="2"/>
        <scheme val="minor"/>
      </rPr>
      <t>mW</t>
    </r>
  </si>
  <si>
    <r>
      <t>From Psychrometric Chart with 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, 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, and t</t>
    </r>
    <r>
      <rPr>
        <vertAlign val="subscript"/>
        <sz val="9"/>
        <rFont val="Calibri"/>
        <family val="2"/>
        <scheme val="minor"/>
      </rPr>
      <t>1wb</t>
    </r>
  </si>
  <si>
    <r>
      <t xml:space="preserve">Note: </t>
    </r>
    <r>
      <rPr>
        <sz val="9"/>
        <rFont val="Calibri"/>
        <family val="2"/>
        <scheme val="minor"/>
      </rPr>
      <t>t</t>
    </r>
    <r>
      <rPr>
        <vertAlign val="subscript"/>
        <sz val="9"/>
        <rFont val="Calibri"/>
        <family val="2"/>
        <scheme val="minor"/>
      </rPr>
      <t>1dp</t>
    </r>
    <r>
      <rPr>
        <sz val="8"/>
        <rFont val="Calibri"/>
        <family val="2"/>
        <scheme val="minor"/>
      </rPr>
      <t xml:space="preserve"> = Dew Point Temp. is Sat. Temp. Corresponding to Sat. Vapor Pressure,</t>
    </r>
    <r>
      <rPr>
        <sz val="9"/>
        <rFont val="Calibri"/>
        <family val="2"/>
        <scheme val="minor"/>
      </rPr>
      <t xml:space="preserve"> p</t>
    </r>
    <r>
      <rPr>
        <vertAlign val="subscript"/>
        <sz val="9"/>
        <rFont val="Calibri"/>
        <family val="2"/>
        <scheme val="minor"/>
      </rPr>
      <t>v</t>
    </r>
    <r>
      <rPr>
        <sz val="8"/>
        <rFont val="Calibri"/>
        <family val="2"/>
        <scheme val="minor"/>
      </rPr>
      <t>, from Steam Tables.</t>
    </r>
  </si>
  <si>
    <r>
      <t>Enthalpy of Saturated Air at Dew Point Temp.                              (From psychrometric charts with t</t>
    </r>
    <r>
      <rPr>
        <vertAlign val="subscript"/>
        <sz val="9"/>
        <rFont val="Calibri"/>
        <family val="2"/>
        <scheme val="minor"/>
      </rPr>
      <t>1dp</t>
    </r>
    <r>
      <rPr>
        <sz val="9"/>
        <rFont val="Calibri"/>
        <family val="2"/>
        <scheme val="minor"/>
      </rPr>
      <t xml:space="preserve"> and 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)</t>
    </r>
  </si>
  <si>
    <t>Approximate Air Enthalpy at Dry-Wet Boundary</t>
  </si>
  <si>
    <r>
      <t>t</t>
    </r>
    <r>
      <rPr>
        <vertAlign val="subscript"/>
        <sz val="9"/>
        <rFont val="Calibri"/>
        <family val="2"/>
        <scheme val="minor"/>
      </rPr>
      <t>r1</t>
    </r>
  </si>
  <si>
    <t>Volatile  Refrigerant (Thermal Parallel Flow)</t>
  </si>
  <si>
    <r>
      <t>(t</t>
    </r>
    <r>
      <rPr>
        <vertAlign val="subscript"/>
        <sz val="8"/>
        <rFont val="Calibri"/>
        <family val="2"/>
        <scheme val="minor"/>
      </rPr>
      <t>1dp</t>
    </r>
    <r>
      <rPr>
        <sz val="8"/>
        <rFont val="Calibri"/>
        <family val="2"/>
        <scheme val="minor"/>
      </rPr>
      <t>-t</t>
    </r>
    <r>
      <rPr>
        <vertAlign val="subscript"/>
        <sz val="8"/>
        <rFont val="Calibri"/>
        <family val="2"/>
        <scheme val="minor"/>
      </rPr>
      <t>rc2g</t>
    </r>
    <r>
      <rPr>
        <sz val="8"/>
        <rFont val="Calibri"/>
        <family val="2"/>
        <scheme val="minor"/>
      </rPr>
      <t xml:space="preserve"> - y*h</t>
    </r>
    <r>
      <rPr>
        <vertAlign val="sub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>)+(C*h</t>
    </r>
    <r>
      <rPr>
        <vertAlign val="subscript"/>
        <sz val="8"/>
        <rFont val="Calibri"/>
        <family val="2"/>
        <scheme val="minor"/>
      </rPr>
      <t>1dp</t>
    </r>
    <r>
      <rPr>
        <sz val="8"/>
        <rFont val="Calibri"/>
        <family val="2"/>
        <scheme val="minor"/>
      </rPr>
      <t>))/(C - y)</t>
    </r>
  </si>
  <si>
    <r>
      <t>Superheated Refrigerant Temp at Coil Outlet                            (Note: For rating convenience, it is assumed that there is no temp drop from coil circuits to coil outlet (t</t>
    </r>
    <r>
      <rPr>
        <vertAlign val="subscript"/>
        <sz val="9"/>
        <color theme="1"/>
        <rFont val="Calibri"/>
        <family val="2"/>
        <scheme val="minor"/>
      </rPr>
      <t>rc2g</t>
    </r>
    <r>
      <rPr>
        <sz val="9"/>
        <color theme="1"/>
        <rFont val="Calibri"/>
        <family val="2"/>
        <scheme val="minor"/>
      </rPr>
      <t xml:space="preserve"> = t</t>
    </r>
    <r>
      <rPr>
        <vertAlign val="subscript"/>
        <sz val="9"/>
        <color theme="1"/>
        <rFont val="Calibri"/>
        <family val="2"/>
        <scheme val="minor"/>
      </rPr>
      <t>r2</t>
    </r>
    <r>
      <rPr>
        <sz val="9"/>
        <color theme="1"/>
        <rFont val="Calibri"/>
        <family val="2"/>
        <scheme val="minor"/>
      </rPr>
      <t>))</t>
    </r>
  </si>
  <si>
    <r>
      <t>t</t>
    </r>
    <r>
      <rPr>
        <vertAlign val="subscript"/>
        <sz val="8"/>
        <rFont val="Calibri"/>
        <family val="2"/>
        <scheme val="minor"/>
      </rPr>
      <t>rB</t>
    </r>
    <r>
      <rPr>
        <sz val="8"/>
        <rFont val="Calibri"/>
        <family val="2"/>
        <scheme val="minor"/>
      </rPr>
      <t xml:space="preserve"> = t</t>
    </r>
    <r>
      <rPr>
        <vertAlign val="subscript"/>
        <sz val="8"/>
        <rFont val="Calibri"/>
        <family val="2"/>
        <scheme val="minor"/>
      </rPr>
      <t>r1</t>
    </r>
    <r>
      <rPr>
        <sz val="8"/>
        <rFont val="Calibri"/>
        <family val="2"/>
        <scheme val="minor"/>
      </rPr>
      <t>-y*(h</t>
    </r>
    <r>
      <rPr>
        <vertAlign val="subscript"/>
        <sz val="8"/>
        <rFont val="Calibri"/>
        <family val="2"/>
        <scheme val="minor"/>
      </rPr>
      <t xml:space="preserve">1 </t>
    </r>
    <r>
      <rPr>
        <sz val="8"/>
        <rFont val="Calibri"/>
        <family val="2"/>
        <scheme val="minor"/>
      </rPr>
      <t>- h</t>
    </r>
    <r>
      <rPr>
        <vertAlign val="subscript"/>
        <sz val="8"/>
        <rFont val="Calibri"/>
        <family val="2"/>
        <scheme val="minor"/>
      </rPr>
      <t>B</t>
    </r>
    <r>
      <rPr>
        <sz val="8"/>
        <rFont val="Calibri"/>
        <family val="2"/>
        <scheme val="minor"/>
      </rPr>
      <t>)</t>
    </r>
  </si>
  <si>
    <r>
      <t>t</t>
    </r>
    <r>
      <rPr>
        <vertAlign val="subscript"/>
        <sz val="8"/>
        <rFont val="Calibri"/>
        <family val="2"/>
        <scheme val="minor"/>
      </rPr>
      <t>wB</t>
    </r>
    <r>
      <rPr>
        <sz val="8"/>
        <rFont val="Calibri"/>
        <family val="2"/>
        <scheme val="minor"/>
      </rPr>
      <t xml:space="preserve"> = t</t>
    </r>
    <r>
      <rPr>
        <vertAlign val="subscript"/>
        <sz val="8"/>
        <rFont val="Calibri"/>
        <family val="2"/>
        <scheme val="minor"/>
      </rPr>
      <t>w2</t>
    </r>
    <r>
      <rPr>
        <sz val="8"/>
        <rFont val="Calibri"/>
        <family val="2"/>
        <scheme val="minor"/>
      </rPr>
      <t>-y*(h</t>
    </r>
    <r>
      <rPr>
        <vertAlign val="subscript"/>
        <sz val="8"/>
        <rFont val="Calibri"/>
        <family val="2"/>
        <scheme val="minor"/>
      </rPr>
      <t xml:space="preserve">1 </t>
    </r>
    <r>
      <rPr>
        <sz val="8"/>
        <rFont val="Calibri"/>
        <family val="2"/>
        <scheme val="minor"/>
      </rPr>
      <t>- h</t>
    </r>
    <r>
      <rPr>
        <vertAlign val="subscript"/>
        <sz val="8"/>
        <rFont val="Calibri"/>
        <family val="2"/>
        <scheme val="minor"/>
      </rPr>
      <t>B</t>
    </r>
    <r>
      <rPr>
        <sz val="8"/>
        <rFont val="Calibri"/>
        <family val="2"/>
        <scheme val="minor"/>
      </rPr>
      <t>)</t>
    </r>
  </si>
  <si>
    <r>
      <t>t</t>
    </r>
    <r>
      <rPr>
        <vertAlign val="subscript"/>
        <sz val="8"/>
        <rFont val="Calibri"/>
        <family val="2"/>
        <scheme val="minor"/>
      </rPr>
      <t>rB</t>
    </r>
    <r>
      <rPr>
        <sz val="8"/>
        <rFont val="Calibri"/>
        <family val="2"/>
        <scheme val="minor"/>
      </rPr>
      <t xml:space="preserve"> = t</t>
    </r>
    <r>
      <rPr>
        <vertAlign val="subscript"/>
        <sz val="8"/>
        <rFont val="Calibri"/>
        <family val="2"/>
        <scheme val="minor"/>
      </rPr>
      <t xml:space="preserve">rc2g </t>
    </r>
    <r>
      <rPr>
        <sz val="8"/>
        <rFont val="Calibri"/>
        <family val="2"/>
        <scheme val="minor"/>
      </rPr>
      <t>+</t>
    </r>
    <r>
      <rPr>
        <vertAlign val="subscript"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y*(h</t>
    </r>
    <r>
      <rPr>
        <vertAlign val="subscript"/>
        <sz val="8"/>
        <rFont val="Calibri"/>
        <family val="2"/>
        <scheme val="minor"/>
      </rPr>
      <t xml:space="preserve">1 </t>
    </r>
    <r>
      <rPr>
        <sz val="8"/>
        <rFont val="Calibri"/>
        <family val="2"/>
        <scheme val="minor"/>
      </rPr>
      <t>- h</t>
    </r>
    <r>
      <rPr>
        <vertAlign val="subscript"/>
        <sz val="8"/>
        <rFont val="Calibri"/>
        <family val="2"/>
        <scheme val="minor"/>
      </rPr>
      <t>B</t>
    </r>
    <r>
      <rPr>
        <sz val="8"/>
        <rFont val="Calibri"/>
        <family val="2"/>
        <scheme val="minor"/>
      </rPr>
      <t>)</t>
    </r>
  </si>
  <si>
    <r>
      <t>t</t>
    </r>
    <r>
      <rPr>
        <vertAlign val="subscript"/>
        <sz val="9"/>
        <color theme="1"/>
        <rFont val="Calibri"/>
        <family val="2"/>
        <scheme val="minor"/>
      </rPr>
      <t>wmW</t>
    </r>
    <r>
      <rPr>
        <sz val="9"/>
        <color theme="1"/>
        <rFont val="Calibri"/>
        <family val="2"/>
        <scheme val="minor"/>
      </rPr>
      <t xml:space="preserve"> or t</t>
    </r>
    <r>
      <rPr>
        <vertAlign val="subscript"/>
        <sz val="9"/>
        <color theme="1"/>
        <rFont val="Calibri"/>
        <family val="2"/>
        <scheme val="minor"/>
      </rPr>
      <t>rmW</t>
    </r>
  </si>
  <si>
    <r>
      <t>t</t>
    </r>
    <r>
      <rPr>
        <vertAlign val="subscript"/>
        <sz val="8"/>
        <rFont val="Calibri"/>
        <family val="2"/>
        <scheme val="minor"/>
      </rPr>
      <t>wmW</t>
    </r>
    <r>
      <rPr>
        <sz val="8"/>
        <rFont val="Calibri"/>
        <family val="2"/>
        <scheme val="minor"/>
      </rPr>
      <t>=(t</t>
    </r>
    <r>
      <rPr>
        <vertAlign val="subscript"/>
        <sz val="8"/>
        <rFont val="Calibri"/>
        <family val="2"/>
        <scheme val="minor"/>
      </rPr>
      <t>w1</t>
    </r>
    <r>
      <rPr>
        <sz val="8"/>
        <rFont val="Calibri"/>
        <family val="2"/>
        <scheme val="minor"/>
      </rPr>
      <t>+t</t>
    </r>
    <r>
      <rPr>
        <vertAlign val="subscript"/>
        <sz val="8"/>
        <rFont val="Calibri"/>
        <family val="2"/>
        <scheme val="minor"/>
      </rPr>
      <t>w2</t>
    </r>
    <r>
      <rPr>
        <sz val="8"/>
        <rFont val="Calibri"/>
        <family val="2"/>
        <scheme val="minor"/>
      </rPr>
      <t>)/2 or =(t</t>
    </r>
    <r>
      <rPr>
        <vertAlign val="subscript"/>
        <sz val="8"/>
        <rFont val="Calibri"/>
        <family val="2"/>
        <scheme val="minor"/>
      </rPr>
      <t>wB</t>
    </r>
    <r>
      <rPr>
        <sz val="8"/>
        <rFont val="Calibri"/>
        <family val="2"/>
        <scheme val="minor"/>
      </rPr>
      <t>+t</t>
    </r>
    <r>
      <rPr>
        <vertAlign val="subscript"/>
        <sz val="8"/>
        <rFont val="Calibri"/>
        <family val="2"/>
        <scheme val="minor"/>
      </rPr>
      <t>w2</t>
    </r>
    <r>
      <rPr>
        <sz val="8"/>
        <rFont val="Calibri"/>
        <family val="2"/>
        <scheme val="minor"/>
      </rPr>
      <t>)/2</t>
    </r>
  </si>
  <si>
    <r>
      <t>t</t>
    </r>
    <r>
      <rPr>
        <vertAlign val="subscript"/>
        <sz val="8"/>
        <rFont val="Calibri"/>
        <family val="2"/>
        <scheme val="minor"/>
      </rPr>
      <t>rmW</t>
    </r>
    <r>
      <rPr>
        <sz val="8"/>
        <rFont val="Calibri"/>
        <family val="2"/>
        <scheme val="minor"/>
      </rPr>
      <t>=(t</t>
    </r>
    <r>
      <rPr>
        <vertAlign val="subscript"/>
        <sz val="8"/>
        <rFont val="Calibri"/>
        <family val="2"/>
        <scheme val="minor"/>
      </rPr>
      <t>r1</t>
    </r>
    <r>
      <rPr>
        <sz val="8"/>
        <rFont val="Calibri"/>
        <family val="2"/>
        <scheme val="minor"/>
      </rPr>
      <t>+t</t>
    </r>
    <r>
      <rPr>
        <vertAlign val="subscript"/>
        <sz val="8"/>
        <rFont val="Calibri"/>
        <family val="2"/>
        <scheme val="minor"/>
      </rPr>
      <t>rc2g</t>
    </r>
    <r>
      <rPr>
        <sz val="8"/>
        <rFont val="Calibri"/>
        <family val="2"/>
        <scheme val="minor"/>
      </rPr>
      <t>)/2 or =(t</t>
    </r>
    <r>
      <rPr>
        <vertAlign val="subscript"/>
        <sz val="8"/>
        <rFont val="Calibri"/>
        <family val="2"/>
        <scheme val="minor"/>
      </rPr>
      <t>rB</t>
    </r>
    <r>
      <rPr>
        <sz val="8"/>
        <rFont val="Calibri"/>
        <family val="2"/>
        <scheme val="minor"/>
      </rPr>
      <t>+t</t>
    </r>
    <r>
      <rPr>
        <vertAlign val="subscript"/>
        <sz val="8"/>
        <rFont val="Calibri"/>
        <family val="2"/>
        <scheme val="minor"/>
      </rPr>
      <t>rc2g</t>
    </r>
    <r>
      <rPr>
        <sz val="8"/>
        <rFont val="Calibri"/>
        <family val="2"/>
        <scheme val="minor"/>
      </rPr>
      <t>)/2</t>
    </r>
  </si>
  <si>
    <r>
      <t>t</t>
    </r>
    <r>
      <rPr>
        <vertAlign val="subscript"/>
        <sz val="8"/>
        <rFont val="Calibri"/>
        <family val="2"/>
        <scheme val="minor"/>
      </rPr>
      <t>rmW</t>
    </r>
    <r>
      <rPr>
        <sz val="8"/>
        <rFont val="Calibri"/>
        <family val="2"/>
        <scheme val="minor"/>
      </rPr>
      <t>=(t</t>
    </r>
    <r>
      <rPr>
        <vertAlign val="subscript"/>
        <sz val="8"/>
        <rFont val="Calibri"/>
        <family val="2"/>
        <scheme val="minor"/>
      </rPr>
      <t>r1</t>
    </r>
    <r>
      <rPr>
        <sz val="8"/>
        <rFont val="Calibri"/>
        <family val="2"/>
        <scheme val="minor"/>
      </rPr>
      <t>+t</t>
    </r>
    <r>
      <rPr>
        <vertAlign val="subscript"/>
        <sz val="8"/>
        <rFont val="Calibri"/>
        <family val="2"/>
        <scheme val="minor"/>
      </rPr>
      <t>rc2g</t>
    </r>
    <r>
      <rPr>
        <sz val="8"/>
        <rFont val="Calibri"/>
        <family val="2"/>
        <scheme val="minor"/>
      </rPr>
      <t>)/2 or =(t</t>
    </r>
    <r>
      <rPr>
        <vertAlign val="subscript"/>
        <sz val="8"/>
        <rFont val="Calibri"/>
        <family val="2"/>
        <scheme val="minor"/>
      </rPr>
      <t>rB</t>
    </r>
    <r>
      <rPr>
        <sz val="8"/>
        <rFont val="Calibri"/>
        <family val="2"/>
        <scheme val="minor"/>
      </rPr>
      <t>+t</t>
    </r>
    <r>
      <rPr>
        <vertAlign val="subscript"/>
        <sz val="8"/>
        <rFont val="Calibri"/>
        <family val="2"/>
        <scheme val="minor"/>
      </rPr>
      <t>r1</t>
    </r>
    <r>
      <rPr>
        <sz val="8"/>
        <rFont val="Calibri"/>
        <family val="2"/>
        <scheme val="minor"/>
      </rPr>
      <t>)/2</t>
    </r>
  </si>
  <si>
    <r>
      <t>h</t>
    </r>
    <r>
      <rPr>
        <vertAlign val="subscript"/>
        <sz val="9"/>
        <color theme="1"/>
        <rFont val="Calibri"/>
        <family val="2"/>
        <scheme val="minor"/>
      </rPr>
      <t>mW</t>
    </r>
  </si>
  <si>
    <r>
      <t>h</t>
    </r>
    <r>
      <rPr>
        <vertAlign val="subscript"/>
        <sz val="8"/>
        <rFont val="Calibri"/>
        <family val="2"/>
        <scheme val="minor"/>
      </rPr>
      <t>mW</t>
    </r>
    <r>
      <rPr>
        <sz val="8"/>
        <rFont val="Calibri"/>
        <family val="2"/>
        <scheme val="minor"/>
      </rPr>
      <t>=(h</t>
    </r>
    <r>
      <rPr>
        <vertAlign val="sub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>+h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)/2 or =(h</t>
    </r>
    <r>
      <rPr>
        <vertAlign val="subscript"/>
        <sz val="8"/>
        <rFont val="Calibri"/>
        <family val="2"/>
        <scheme val="minor"/>
      </rPr>
      <t>B</t>
    </r>
    <r>
      <rPr>
        <sz val="8"/>
        <rFont val="Calibri"/>
        <family val="2"/>
        <scheme val="minor"/>
      </rPr>
      <t>+h</t>
    </r>
    <r>
      <rPr>
        <vertAlign val="sub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>)/2</t>
    </r>
  </si>
  <si>
    <r>
      <t>t</t>
    </r>
    <r>
      <rPr>
        <vertAlign val="subscript"/>
        <sz val="9"/>
        <color theme="1"/>
        <rFont val="Calibri"/>
        <family val="2"/>
        <scheme val="minor"/>
      </rPr>
      <t>smW</t>
    </r>
  </si>
  <si>
    <r>
      <t xml:space="preserve">  t</t>
    </r>
    <r>
      <rPr>
        <vertAlign val="subscript"/>
        <sz val="9"/>
        <color theme="1"/>
        <rFont val="Calibri"/>
        <family val="2"/>
        <scheme val="minor"/>
      </rPr>
      <t xml:space="preserve">wB      </t>
    </r>
    <r>
      <rPr>
        <sz val="9"/>
        <color theme="1"/>
        <rFont val="Calibri"/>
        <family val="2"/>
        <scheme val="minor"/>
      </rPr>
      <t>or    t</t>
    </r>
    <r>
      <rPr>
        <vertAlign val="subscript"/>
        <sz val="9"/>
        <color theme="1"/>
        <rFont val="Calibri"/>
        <family val="2"/>
        <scheme val="minor"/>
      </rPr>
      <t>rB</t>
    </r>
  </si>
  <si>
    <r>
      <t>f</t>
    </r>
    <r>
      <rPr>
        <vertAlign val="subscript"/>
        <sz val="8"/>
        <color theme="1"/>
        <rFont val="Calibri"/>
        <family val="2"/>
        <scheme val="minor"/>
      </rPr>
      <t>aW</t>
    </r>
    <r>
      <rPr>
        <sz val="8"/>
        <color theme="1"/>
        <rFont val="Calibri"/>
        <family val="2"/>
        <scheme val="minor"/>
      </rPr>
      <t xml:space="preserve"> = (m"/c</t>
    </r>
    <r>
      <rPr>
        <vertAlign val="subscript"/>
        <sz val="8"/>
        <color theme="1"/>
        <rFont val="Calibri"/>
        <family val="2"/>
        <scheme val="minor"/>
      </rPr>
      <t>p</t>
    </r>
    <r>
      <rPr>
        <sz val="8"/>
        <color theme="1"/>
        <rFont val="Calibri"/>
        <family val="2"/>
        <scheme val="minor"/>
      </rPr>
      <t>)/R</t>
    </r>
    <r>
      <rPr>
        <vertAlign val="subscript"/>
        <sz val="8"/>
        <color theme="1"/>
        <rFont val="Calibri"/>
        <family val="2"/>
        <scheme val="minor"/>
      </rPr>
      <t>aW</t>
    </r>
  </si>
  <si>
    <r>
      <t>Coil Characteristics for Wetted Surface                                                   *The approx value of C is used only to obtain the                         final value of R</t>
    </r>
    <r>
      <rPr>
        <vertAlign val="subscript"/>
        <sz val="9"/>
        <color theme="1"/>
        <rFont val="Calibri"/>
        <family val="2"/>
        <scheme val="minor"/>
      </rPr>
      <t>mW</t>
    </r>
  </si>
  <si>
    <t>Entering Air Dew Point Temperature   Note: Calculation of Dew Point Temp for Non-Standard Air Pressure*</t>
  </si>
  <si>
    <r>
      <t>Where: p</t>
    </r>
    <r>
      <rPr>
        <vertAlign val="subscript"/>
        <sz val="8"/>
        <rFont val="Calibri"/>
        <family val="2"/>
        <scheme val="minor"/>
      </rPr>
      <t>s</t>
    </r>
    <r>
      <rPr>
        <sz val="8"/>
        <rFont val="Calibri"/>
        <family val="2"/>
        <scheme val="minor"/>
      </rPr>
      <t xml:space="preserve"> = Air Pressure. p' = Sat. Vapor Press. at t</t>
    </r>
    <r>
      <rPr>
        <vertAlign val="subscript"/>
        <sz val="8"/>
        <rFont val="Calibri"/>
        <family val="2"/>
        <scheme val="minor"/>
      </rPr>
      <t>1db</t>
    </r>
    <r>
      <rPr>
        <sz val="8"/>
        <rFont val="Calibri"/>
        <family val="2"/>
        <scheme val="minor"/>
      </rPr>
      <t xml:space="preserve"> from steam tables. P</t>
    </r>
    <r>
      <rPr>
        <vertAlign val="subscript"/>
        <sz val="8"/>
        <rFont val="Calibri"/>
        <family val="2"/>
        <scheme val="minor"/>
      </rPr>
      <t>v</t>
    </r>
    <r>
      <rPr>
        <sz val="8"/>
        <rFont val="Calibri"/>
        <family val="2"/>
        <scheme val="minor"/>
      </rPr>
      <t xml:space="preserve"> = Sat. Vapor Press. at Dew Point Temp.    </t>
    </r>
  </si>
  <si>
    <r>
      <t>k</t>
    </r>
    <r>
      <rPr>
        <vertAlign val="subscript"/>
        <sz val="9"/>
        <color theme="1"/>
        <rFont val="Calibri"/>
        <family val="2"/>
        <scheme val="minor"/>
      </rPr>
      <t>w</t>
    </r>
  </si>
  <si>
    <r>
      <t>h</t>
    </r>
    <r>
      <rPr>
        <vertAlign val="subscript"/>
        <sz val="9"/>
        <rFont val="Calibri"/>
        <family val="2"/>
        <scheme val="minor"/>
      </rPr>
      <t>B</t>
    </r>
    <r>
      <rPr>
        <sz val="9"/>
        <rFont val="Calibri"/>
        <family val="2"/>
        <scheme val="minor"/>
      </rPr>
      <t xml:space="preserve"> = (t</t>
    </r>
    <r>
      <rPr>
        <vertAlign val="subscript"/>
        <sz val="9"/>
        <rFont val="Calibri"/>
        <family val="2"/>
        <scheme val="minor"/>
      </rPr>
      <t>1dp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w2</t>
    </r>
    <r>
      <rPr>
        <sz val="9"/>
        <rFont val="Calibri"/>
        <family val="2"/>
        <scheme val="minor"/>
      </rPr>
      <t>+(y*h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)+(C*h</t>
    </r>
    <r>
      <rPr>
        <vertAlign val="subscript"/>
        <sz val="9"/>
        <rFont val="Calibri"/>
        <family val="2"/>
        <scheme val="minor"/>
      </rPr>
      <t>1dp</t>
    </r>
    <r>
      <rPr>
        <sz val="9"/>
        <rFont val="Calibri"/>
        <family val="2"/>
        <scheme val="minor"/>
      </rPr>
      <t>))/(C+y)</t>
    </r>
  </si>
  <si>
    <r>
      <t>h</t>
    </r>
    <r>
      <rPr>
        <vertAlign val="subscript"/>
        <sz val="9"/>
        <rFont val="Calibri"/>
        <family val="2"/>
        <scheme val="minor"/>
      </rPr>
      <t>B</t>
    </r>
    <r>
      <rPr>
        <sz val="9"/>
        <rFont val="Calibri"/>
        <family val="2"/>
        <scheme val="minor"/>
      </rPr>
      <t xml:space="preserve"> = (t</t>
    </r>
    <r>
      <rPr>
        <vertAlign val="subscript"/>
        <sz val="9"/>
        <rFont val="Calibri"/>
        <family val="2"/>
        <scheme val="minor"/>
      </rPr>
      <t>1dp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r1</t>
    </r>
    <r>
      <rPr>
        <sz val="9"/>
        <rFont val="Calibri"/>
        <family val="2"/>
        <scheme val="minor"/>
      </rPr>
      <t>+(y*h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)+(C*h</t>
    </r>
    <r>
      <rPr>
        <vertAlign val="subscript"/>
        <sz val="9"/>
        <rFont val="Calibri"/>
        <family val="2"/>
        <scheme val="minor"/>
      </rPr>
      <t>1dp</t>
    </r>
    <r>
      <rPr>
        <sz val="9"/>
        <rFont val="Calibri"/>
        <family val="2"/>
        <scheme val="minor"/>
      </rPr>
      <t>))/(C+y)</t>
    </r>
  </si>
  <si>
    <r>
      <t>h</t>
    </r>
    <r>
      <rPr>
        <vertAlign val="subscript"/>
        <sz val="9"/>
        <rFont val="Calibri"/>
        <family val="2"/>
        <scheme val="minor"/>
      </rPr>
      <t>B</t>
    </r>
    <r>
      <rPr>
        <sz val="9"/>
        <rFont val="Calibri"/>
        <family val="2"/>
        <scheme val="minor"/>
      </rPr>
      <t xml:space="preserve"> = (t</t>
    </r>
    <r>
      <rPr>
        <vertAlign val="subscript"/>
        <sz val="9"/>
        <rFont val="Calibri"/>
        <family val="2"/>
        <scheme val="minor"/>
      </rPr>
      <t>1dp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rc2g</t>
    </r>
    <r>
      <rPr>
        <sz val="9"/>
        <rFont val="Calibri"/>
        <family val="2"/>
        <scheme val="minor"/>
      </rPr>
      <t xml:space="preserve"> -</t>
    </r>
    <r>
      <rPr>
        <sz val="9"/>
        <rFont val="Calibri"/>
        <family val="2"/>
        <scheme val="minor"/>
      </rPr>
      <t>(y*h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)+(C*h</t>
    </r>
    <r>
      <rPr>
        <vertAlign val="subscript"/>
        <sz val="9"/>
        <rFont val="Calibri"/>
        <family val="2"/>
        <scheme val="minor"/>
      </rPr>
      <t>1dp</t>
    </r>
    <r>
      <rPr>
        <sz val="9"/>
        <rFont val="Calibri"/>
        <family val="2"/>
        <scheme val="minor"/>
      </rPr>
      <t>))/(C-y)</t>
    </r>
  </si>
  <si>
    <t xml:space="preserve">Mean Air Enthalpy                                                                    </t>
  </si>
  <si>
    <r>
      <t>C = (R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+R</t>
    </r>
    <r>
      <rPr>
        <vertAlign val="subscript"/>
        <sz val="9"/>
        <color theme="1"/>
        <rFont val="Calibri"/>
        <family val="2"/>
        <scheme val="minor"/>
      </rPr>
      <t>mW</t>
    </r>
    <r>
      <rPr>
        <sz val="9"/>
        <color theme="1"/>
        <rFont val="Calibri"/>
        <family val="2"/>
        <scheme val="minor"/>
      </rPr>
      <t>)/(0.243*R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>)  or               = (R</t>
    </r>
    <r>
      <rPr>
        <vertAlign val="subscript"/>
        <sz val="9"/>
        <color theme="1"/>
        <rFont val="Calibri"/>
        <family val="2"/>
        <scheme val="minor"/>
      </rPr>
      <t>r</t>
    </r>
    <r>
      <rPr>
        <sz val="9"/>
        <color theme="1"/>
        <rFont val="Calibri"/>
        <family val="2"/>
        <scheme val="minor"/>
      </rPr>
      <t>+R</t>
    </r>
    <r>
      <rPr>
        <vertAlign val="subscript"/>
        <sz val="9"/>
        <color theme="1"/>
        <rFont val="Calibri"/>
        <family val="2"/>
        <scheme val="minor"/>
      </rPr>
      <t>mW</t>
    </r>
    <r>
      <rPr>
        <sz val="9"/>
        <color theme="1"/>
        <rFont val="Calibri"/>
        <family val="2"/>
        <scheme val="minor"/>
      </rPr>
      <t>)/(0.243*R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>)</t>
    </r>
  </si>
  <si>
    <r>
      <t>= 0.5*(h</t>
    </r>
    <r>
      <rPr>
        <vertAlign val="sub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+ 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)</t>
    </r>
  </si>
  <si>
    <r>
      <t>h</t>
    </r>
    <r>
      <rPr>
        <vertAlign val="subscript"/>
        <sz val="9"/>
        <rFont val="Calibri"/>
        <family val="2"/>
        <scheme val="minor"/>
      </rPr>
      <t>m</t>
    </r>
  </si>
  <si>
    <r>
      <t>(μ</t>
    </r>
    <r>
      <rPr>
        <vertAlign val="subscript"/>
        <sz val="9"/>
        <color theme="1"/>
        <rFont val="Calibri"/>
        <family val="2"/>
        <scheme val="minor"/>
      </rPr>
      <t>tw</t>
    </r>
    <r>
      <rPr>
        <sz val="9"/>
        <color theme="1"/>
        <rFont val="Calibri"/>
        <family val="2"/>
        <scheme val="minor"/>
      </rPr>
      <t xml:space="preserve">/ </t>
    </r>
    <r>
      <rPr>
        <sz val="9"/>
        <color theme="1"/>
        <rFont val="Calibri"/>
        <family val="2"/>
      </rPr>
      <t>μ</t>
    </r>
    <r>
      <rPr>
        <vertAlign val="subscript"/>
        <sz val="9"/>
        <color theme="1"/>
        <rFont val="Calibri"/>
        <family val="2"/>
      </rPr>
      <t>w</t>
    </r>
    <r>
      <rPr>
        <sz val="9"/>
        <color theme="1"/>
        <rFont val="Calibri"/>
        <family val="2"/>
      </rPr>
      <t>)</t>
    </r>
    <r>
      <rPr>
        <vertAlign val="superscript"/>
        <sz val="9"/>
        <color theme="1"/>
        <rFont val="Calibri"/>
        <family val="2"/>
      </rPr>
      <t>.14</t>
    </r>
    <r>
      <rPr>
        <sz val="9"/>
        <color theme="1"/>
        <rFont val="Calibri"/>
        <family val="2"/>
      </rPr>
      <t xml:space="preserve"> init</t>
    </r>
  </si>
  <si>
    <r>
      <t>μ</t>
    </r>
    <r>
      <rPr>
        <vertAlign val="subscript"/>
        <sz val="9"/>
        <color theme="1"/>
        <rFont val="Calibri"/>
        <family val="2"/>
      </rPr>
      <t>tw</t>
    </r>
  </si>
  <si>
    <r>
      <t>t</t>
    </r>
    <r>
      <rPr>
        <vertAlign val="subscript"/>
        <sz val="9"/>
        <rFont val="Calibri"/>
        <family val="2"/>
        <scheme val="minor"/>
      </rPr>
      <t>wB</t>
    </r>
    <r>
      <rPr>
        <sz val="9"/>
        <rFont val="Calibri"/>
        <family val="2"/>
        <scheme val="minor"/>
      </rPr>
      <t xml:space="preserve"> = t</t>
    </r>
    <r>
      <rPr>
        <vertAlign val="subscript"/>
        <sz val="9"/>
        <rFont val="Calibri"/>
        <family val="2"/>
        <scheme val="minor"/>
      </rPr>
      <t>w2</t>
    </r>
    <r>
      <rPr>
        <sz val="9"/>
        <rFont val="Calibri"/>
        <family val="2"/>
        <scheme val="minor"/>
      </rPr>
      <t>-y*(h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B</t>
    </r>
    <r>
      <rPr>
        <sz val="9"/>
        <rFont val="Calibri"/>
        <family val="2"/>
        <scheme val="minor"/>
      </rPr>
      <t>)</t>
    </r>
  </si>
  <si>
    <r>
      <t>t</t>
    </r>
    <r>
      <rPr>
        <vertAlign val="subscript"/>
        <sz val="9"/>
        <rFont val="Calibri"/>
        <family val="2"/>
        <scheme val="minor"/>
      </rPr>
      <t>rB</t>
    </r>
    <r>
      <rPr>
        <sz val="9"/>
        <rFont val="Calibri"/>
        <family val="2"/>
        <scheme val="minor"/>
      </rPr>
      <t xml:space="preserve"> = t</t>
    </r>
    <r>
      <rPr>
        <vertAlign val="subscript"/>
        <sz val="9"/>
        <rFont val="Calibri"/>
        <family val="2"/>
        <scheme val="minor"/>
      </rPr>
      <t>r1</t>
    </r>
    <r>
      <rPr>
        <sz val="9"/>
        <rFont val="Calibri"/>
        <family val="2"/>
        <scheme val="minor"/>
      </rPr>
      <t>-y*(h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B</t>
    </r>
    <r>
      <rPr>
        <sz val="9"/>
        <rFont val="Calibri"/>
        <family val="2"/>
        <scheme val="minor"/>
      </rPr>
      <t>)</t>
    </r>
  </si>
  <si>
    <r>
      <t>t</t>
    </r>
    <r>
      <rPr>
        <vertAlign val="subscript"/>
        <sz val="9"/>
        <color theme="1"/>
        <rFont val="Calibri"/>
        <family val="2"/>
        <scheme val="minor"/>
      </rPr>
      <t>wB</t>
    </r>
    <r>
      <rPr>
        <sz val="9"/>
        <color theme="1"/>
        <rFont val="Calibri"/>
        <family val="2"/>
        <scheme val="minor"/>
      </rPr>
      <t xml:space="preserve">      or    t</t>
    </r>
    <r>
      <rPr>
        <vertAlign val="subscript"/>
        <sz val="9"/>
        <color theme="1"/>
        <rFont val="Calibri"/>
        <family val="2"/>
        <scheme val="minor"/>
      </rPr>
      <t>rB</t>
    </r>
  </si>
  <si>
    <t>Tube-Side Fluid Temperature at Boundary</t>
  </si>
  <si>
    <r>
      <t>t</t>
    </r>
    <r>
      <rPr>
        <vertAlign val="subscript"/>
        <sz val="8"/>
        <rFont val="Calibri"/>
        <family val="2"/>
        <scheme val="minor"/>
      </rPr>
      <t>B</t>
    </r>
    <r>
      <rPr>
        <sz val="8"/>
        <rFont val="Calibri"/>
        <family val="2"/>
        <scheme val="minor"/>
      </rPr>
      <t xml:space="preserve"> = t</t>
    </r>
    <r>
      <rPr>
        <vertAlign val="subscript"/>
        <sz val="8"/>
        <rFont val="Calibri"/>
        <family val="2"/>
        <scheme val="minor"/>
      </rPr>
      <t>1db</t>
    </r>
    <r>
      <rPr>
        <sz val="8"/>
        <rFont val="Calibri"/>
        <family val="2"/>
        <scheme val="minor"/>
      </rPr>
      <t>-(q</t>
    </r>
    <r>
      <rPr>
        <vertAlign val="subscript"/>
        <sz val="8"/>
        <rFont val="Calibri"/>
        <family val="2"/>
        <scheme val="minor"/>
      </rPr>
      <t>tD</t>
    </r>
    <r>
      <rPr>
        <sz val="8"/>
        <rFont val="Calibri"/>
        <family val="2"/>
        <scheme val="minor"/>
      </rPr>
      <t>/(0.243*60w</t>
    </r>
    <r>
      <rPr>
        <vertAlign val="subscript"/>
        <sz val="8"/>
        <rFont val="Calibri"/>
        <family val="2"/>
        <scheme val="minor"/>
      </rPr>
      <t>a</t>
    </r>
    <r>
      <rPr>
        <sz val="8"/>
        <rFont val="Calibri"/>
        <family val="2"/>
        <scheme val="minor"/>
      </rPr>
      <t>)</t>
    </r>
  </si>
  <si>
    <r>
      <t>t</t>
    </r>
    <r>
      <rPr>
        <vertAlign val="subscript"/>
        <sz val="9"/>
        <rFont val="Calibri"/>
        <family val="2"/>
        <scheme val="minor"/>
      </rPr>
      <t>Bdb</t>
    </r>
  </si>
  <si>
    <r>
      <t>t</t>
    </r>
    <r>
      <rPr>
        <vertAlign val="subscript"/>
        <sz val="9"/>
        <rFont val="Calibri"/>
        <family val="2"/>
        <scheme val="minor"/>
      </rPr>
      <t>rB</t>
    </r>
    <r>
      <rPr>
        <sz val="9"/>
        <rFont val="Calibri"/>
        <family val="2"/>
        <scheme val="minor"/>
      </rPr>
      <t xml:space="preserve"> = t</t>
    </r>
    <r>
      <rPr>
        <vertAlign val="subscript"/>
        <sz val="9"/>
        <rFont val="Calibri"/>
        <family val="2"/>
        <scheme val="minor"/>
      </rPr>
      <t>rc2g</t>
    </r>
    <r>
      <rPr>
        <sz val="9"/>
        <rFont val="Calibri"/>
        <family val="2"/>
        <scheme val="minor"/>
      </rPr>
      <t xml:space="preserve"> +</t>
    </r>
    <r>
      <rPr>
        <vertAlign val="subscript"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y*(h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B</t>
    </r>
    <r>
      <rPr>
        <sz val="9"/>
        <rFont val="Calibri"/>
        <family val="2"/>
        <scheme val="minor"/>
      </rPr>
      <t>)</t>
    </r>
  </si>
  <si>
    <r>
      <t>Δt</t>
    </r>
    <r>
      <rPr>
        <vertAlign val="subscript"/>
        <sz val="9"/>
        <rFont val="Calibri"/>
        <family val="2"/>
        <scheme val="minor"/>
      </rPr>
      <t>m</t>
    </r>
    <r>
      <rPr>
        <sz val="9"/>
        <rFont val="Calibri"/>
        <family val="2"/>
        <scheme val="minor"/>
      </rPr>
      <t xml:space="preserve"> = ((t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w2</t>
    </r>
    <r>
      <rPr>
        <sz val="9"/>
        <rFont val="Calibri"/>
        <family val="2"/>
        <scheme val="minor"/>
      </rPr>
      <t>)-(t</t>
    </r>
    <r>
      <rPr>
        <vertAlign val="subscript"/>
        <sz val="9"/>
        <rFont val="Calibri"/>
        <family val="2"/>
        <scheme val="minor"/>
      </rPr>
      <t>Bdb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wB</t>
    </r>
    <r>
      <rPr>
        <sz val="9"/>
        <rFont val="Calibri"/>
        <family val="2"/>
        <scheme val="minor"/>
      </rPr>
      <t>)) /                             (ln((t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w2</t>
    </r>
    <r>
      <rPr>
        <sz val="9"/>
        <rFont val="Calibri"/>
        <family val="2"/>
        <scheme val="minor"/>
      </rPr>
      <t>)/(t</t>
    </r>
    <r>
      <rPr>
        <vertAlign val="subscript"/>
        <sz val="9"/>
        <rFont val="Calibri"/>
        <family val="2"/>
        <scheme val="minor"/>
      </rPr>
      <t>Bdb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wB</t>
    </r>
    <r>
      <rPr>
        <sz val="9"/>
        <rFont val="Calibri"/>
        <family val="2"/>
        <scheme val="minor"/>
      </rPr>
      <t>)))</t>
    </r>
  </si>
  <si>
    <r>
      <t>Δt</t>
    </r>
    <r>
      <rPr>
        <vertAlign val="subscript"/>
        <sz val="9"/>
        <rFont val="Calibri"/>
        <family val="2"/>
        <scheme val="minor"/>
      </rPr>
      <t>m</t>
    </r>
    <r>
      <rPr>
        <sz val="9"/>
        <rFont val="Calibri"/>
        <family val="2"/>
        <scheme val="minor"/>
      </rPr>
      <t xml:space="preserve"> = ((t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r1</t>
    </r>
    <r>
      <rPr>
        <sz val="9"/>
        <rFont val="Calibri"/>
        <family val="2"/>
        <scheme val="minor"/>
      </rPr>
      <t>)-(t</t>
    </r>
    <r>
      <rPr>
        <vertAlign val="subscript"/>
        <sz val="9"/>
        <rFont val="Calibri"/>
        <family val="2"/>
        <scheme val="minor"/>
      </rPr>
      <t>Bdb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rB</t>
    </r>
    <r>
      <rPr>
        <sz val="9"/>
        <rFont val="Calibri"/>
        <family val="2"/>
        <scheme val="minor"/>
      </rPr>
      <t>)) /                              (ln((t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r1</t>
    </r>
    <r>
      <rPr>
        <sz val="9"/>
        <rFont val="Calibri"/>
        <family val="2"/>
        <scheme val="minor"/>
      </rPr>
      <t>)/(t</t>
    </r>
    <r>
      <rPr>
        <vertAlign val="subscript"/>
        <sz val="9"/>
        <rFont val="Calibri"/>
        <family val="2"/>
        <scheme val="minor"/>
      </rPr>
      <t>Bdb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rB</t>
    </r>
    <r>
      <rPr>
        <sz val="9"/>
        <rFont val="Calibri"/>
        <family val="2"/>
        <scheme val="minor"/>
      </rPr>
      <t>)))</t>
    </r>
  </si>
  <si>
    <r>
      <t>Δt</t>
    </r>
    <r>
      <rPr>
        <vertAlign val="subscript"/>
        <sz val="9"/>
        <rFont val="Calibri"/>
        <family val="2"/>
        <scheme val="minor"/>
      </rPr>
      <t>m</t>
    </r>
    <r>
      <rPr>
        <sz val="9"/>
        <rFont val="Calibri"/>
        <family val="2"/>
        <scheme val="minor"/>
      </rPr>
      <t xml:space="preserve"> = ((t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rc2g</t>
    </r>
    <r>
      <rPr>
        <sz val="9"/>
        <rFont val="Calibri"/>
        <family val="2"/>
        <scheme val="minor"/>
      </rPr>
      <t>)-(t</t>
    </r>
    <r>
      <rPr>
        <vertAlign val="subscript"/>
        <sz val="9"/>
        <rFont val="Calibri"/>
        <family val="2"/>
        <scheme val="minor"/>
      </rPr>
      <t>Bdb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rB</t>
    </r>
    <r>
      <rPr>
        <sz val="9"/>
        <rFont val="Calibri"/>
        <family val="2"/>
        <scheme val="minor"/>
      </rPr>
      <t>)) /                                (ln((t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rc2g</t>
    </r>
    <r>
      <rPr>
        <sz val="9"/>
        <rFont val="Calibri"/>
        <family val="2"/>
        <scheme val="minor"/>
      </rPr>
      <t>)/(t</t>
    </r>
    <r>
      <rPr>
        <vertAlign val="subscript"/>
        <sz val="9"/>
        <rFont val="Calibri"/>
        <family val="2"/>
        <scheme val="minor"/>
      </rPr>
      <t>Bdb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rB</t>
    </r>
    <r>
      <rPr>
        <sz val="9"/>
        <rFont val="Calibri"/>
        <family val="2"/>
        <scheme val="minor"/>
      </rPr>
      <t>)))</t>
    </r>
  </si>
  <si>
    <r>
      <t>A</t>
    </r>
    <r>
      <rPr>
        <vertAlign val="subscript"/>
        <sz val="9"/>
        <color theme="1"/>
        <rFont val="Calibri"/>
        <family val="2"/>
        <scheme val="minor"/>
      </rPr>
      <t>cD</t>
    </r>
    <r>
      <rPr>
        <sz val="9"/>
        <color theme="1"/>
        <rFont val="Calibri"/>
        <family val="2"/>
        <scheme val="minor"/>
      </rPr>
      <t xml:space="preserve"> = q</t>
    </r>
    <r>
      <rPr>
        <vertAlign val="subscript"/>
        <sz val="9"/>
        <color theme="1"/>
        <rFont val="Calibri"/>
        <family val="2"/>
        <scheme val="minor"/>
      </rPr>
      <t>tD*</t>
    </r>
    <r>
      <rPr>
        <sz val="9"/>
        <color theme="1"/>
        <rFont val="Calibri"/>
        <family val="2"/>
        <scheme val="minor"/>
      </rPr>
      <t>(R</t>
    </r>
    <r>
      <rPr>
        <vertAlign val="subscript"/>
        <sz val="9"/>
        <color theme="1"/>
        <rFont val="Calibri"/>
        <family val="2"/>
        <scheme val="minor"/>
      </rPr>
      <t>aD</t>
    </r>
    <r>
      <rPr>
        <sz val="9"/>
        <color theme="1"/>
        <rFont val="Calibri"/>
        <family val="2"/>
        <scheme val="minor"/>
      </rPr>
      <t xml:space="preserve"> + R</t>
    </r>
    <r>
      <rPr>
        <vertAlign val="subscript"/>
        <sz val="9"/>
        <color theme="1"/>
        <rFont val="Calibri"/>
        <family val="2"/>
        <scheme val="minor"/>
      </rPr>
      <t xml:space="preserve">w </t>
    </r>
    <r>
      <rPr>
        <sz val="9"/>
        <color theme="1"/>
        <rFont val="Calibri"/>
        <family val="2"/>
        <scheme val="minor"/>
      </rPr>
      <t>+ R</t>
    </r>
    <r>
      <rPr>
        <vertAlign val="subscript"/>
        <sz val="9"/>
        <color theme="1"/>
        <rFont val="Calibri"/>
        <family val="2"/>
        <scheme val="minor"/>
      </rPr>
      <t>mD</t>
    </r>
    <r>
      <rPr>
        <sz val="9"/>
        <color theme="1"/>
        <rFont val="Calibri"/>
        <family val="2"/>
        <scheme val="minor"/>
      </rPr>
      <t>)/Δt</t>
    </r>
    <r>
      <rPr>
        <vertAlign val="subscript"/>
        <sz val="9"/>
        <color theme="1"/>
        <rFont val="Calibri"/>
        <family val="2"/>
        <scheme val="minor"/>
      </rPr>
      <t xml:space="preserve">m  </t>
    </r>
    <r>
      <rPr>
        <sz val="9"/>
        <color theme="1"/>
        <rFont val="Calibri"/>
        <family val="2"/>
        <scheme val="minor"/>
      </rPr>
      <t xml:space="preserve"> or       A</t>
    </r>
    <r>
      <rPr>
        <vertAlign val="subscript"/>
        <sz val="9"/>
        <color theme="1"/>
        <rFont val="Calibri"/>
        <family val="2"/>
        <scheme val="minor"/>
      </rPr>
      <t xml:space="preserve">cD </t>
    </r>
    <r>
      <rPr>
        <sz val="9"/>
        <color theme="1"/>
        <rFont val="Calibri"/>
        <family val="2"/>
        <scheme val="minor"/>
      </rPr>
      <t>= q</t>
    </r>
    <r>
      <rPr>
        <vertAlign val="subscript"/>
        <sz val="9"/>
        <color theme="1"/>
        <rFont val="Calibri"/>
        <family val="2"/>
        <scheme val="minor"/>
      </rPr>
      <t>tD</t>
    </r>
    <r>
      <rPr>
        <sz val="9"/>
        <color theme="1"/>
        <rFont val="Calibri"/>
        <family val="2"/>
        <scheme val="minor"/>
      </rPr>
      <t>*(R</t>
    </r>
    <r>
      <rPr>
        <vertAlign val="subscript"/>
        <sz val="9"/>
        <color theme="1"/>
        <rFont val="Calibri"/>
        <family val="2"/>
        <scheme val="minor"/>
      </rPr>
      <t>aD</t>
    </r>
    <r>
      <rPr>
        <sz val="9"/>
        <color theme="1"/>
        <rFont val="Calibri"/>
        <family val="2"/>
        <scheme val="minor"/>
      </rPr>
      <t xml:space="preserve"> + R</t>
    </r>
    <r>
      <rPr>
        <vertAlign val="subscript"/>
        <sz val="9"/>
        <color theme="1"/>
        <rFont val="Calibri"/>
        <family val="2"/>
        <scheme val="minor"/>
      </rPr>
      <t xml:space="preserve">r </t>
    </r>
    <r>
      <rPr>
        <sz val="9"/>
        <color theme="1"/>
        <rFont val="Calibri"/>
        <family val="2"/>
        <scheme val="minor"/>
      </rPr>
      <t>+ R</t>
    </r>
    <r>
      <rPr>
        <vertAlign val="subscript"/>
        <sz val="9"/>
        <color theme="1"/>
        <rFont val="Calibri"/>
        <family val="2"/>
        <scheme val="minor"/>
      </rPr>
      <t>mD</t>
    </r>
    <r>
      <rPr>
        <sz val="9"/>
        <color theme="1"/>
        <rFont val="Calibri"/>
        <family val="2"/>
        <scheme val="minor"/>
      </rPr>
      <t>)/Δt</t>
    </r>
    <r>
      <rPr>
        <vertAlign val="subscript"/>
        <sz val="9"/>
        <color theme="1"/>
        <rFont val="Calibri"/>
        <family val="2"/>
        <scheme val="minor"/>
      </rPr>
      <t>m</t>
    </r>
  </si>
  <si>
    <r>
      <t>q</t>
    </r>
    <r>
      <rPr>
        <vertAlign val="subscript"/>
        <sz val="9"/>
        <color theme="1"/>
        <rFont val="Calibri"/>
        <family val="2"/>
        <scheme val="minor"/>
      </rPr>
      <t>tW</t>
    </r>
    <r>
      <rPr>
        <sz val="9"/>
        <color theme="1"/>
        <rFont val="Calibri"/>
        <family val="2"/>
        <scheme val="minor"/>
      </rPr>
      <t xml:space="preserve"> = q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-q</t>
    </r>
    <r>
      <rPr>
        <vertAlign val="subscript"/>
        <sz val="9"/>
        <color theme="1"/>
        <rFont val="Calibri"/>
        <family val="2"/>
        <scheme val="minor"/>
      </rPr>
      <t>tD</t>
    </r>
    <r>
      <rPr>
        <sz val="9"/>
        <color theme="1"/>
        <rFont val="Calibri"/>
        <family val="2"/>
        <scheme val="minor"/>
      </rPr>
      <t xml:space="preserve">     or     q</t>
    </r>
    <r>
      <rPr>
        <vertAlign val="subscript"/>
        <sz val="9"/>
        <color theme="1"/>
        <rFont val="Calibri"/>
        <family val="2"/>
        <scheme val="minor"/>
      </rPr>
      <t>tW</t>
    </r>
    <r>
      <rPr>
        <sz val="9"/>
        <color theme="1"/>
        <rFont val="Calibri"/>
        <family val="2"/>
        <scheme val="minor"/>
      </rPr>
      <t xml:space="preserve"> = q</t>
    </r>
    <r>
      <rPr>
        <vertAlign val="subscript"/>
        <sz val="9"/>
        <color theme="1"/>
        <rFont val="Calibri"/>
        <family val="2"/>
        <scheme val="minor"/>
      </rPr>
      <t>t</t>
    </r>
  </si>
  <si>
    <r>
      <t>Δh</t>
    </r>
    <r>
      <rPr>
        <vertAlign val="subscript"/>
        <sz val="9"/>
        <rFont val="Calibri"/>
        <family val="2"/>
        <scheme val="minor"/>
      </rPr>
      <t>m</t>
    </r>
    <r>
      <rPr>
        <sz val="9"/>
        <rFont val="Calibri"/>
        <family val="2"/>
        <scheme val="minor"/>
      </rPr>
      <t>=((h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>)-(h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s2</t>
    </r>
    <r>
      <rPr>
        <sz val="9"/>
        <rFont val="Calibri"/>
        <family val="2"/>
        <scheme val="minor"/>
      </rPr>
      <t>)) /                                  (ln((h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>)/(h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s2</t>
    </r>
    <r>
      <rPr>
        <sz val="9"/>
        <rFont val="Calibri"/>
        <family val="2"/>
        <scheme val="minor"/>
      </rPr>
      <t>))</t>
    </r>
  </si>
  <si>
    <r>
      <t>Δh</t>
    </r>
    <r>
      <rPr>
        <vertAlign val="subscript"/>
        <sz val="10"/>
        <rFont val="Calibri"/>
        <family val="2"/>
        <scheme val="minor"/>
      </rPr>
      <t>m</t>
    </r>
    <r>
      <rPr>
        <sz val="10"/>
        <rFont val="Calibri"/>
        <family val="2"/>
        <scheme val="minor"/>
      </rPr>
      <t>=((h</t>
    </r>
    <r>
      <rPr>
        <vertAlign val="subscript"/>
        <sz val="10"/>
        <rFont val="Calibri"/>
        <family val="2"/>
        <scheme val="minor"/>
      </rPr>
      <t>B</t>
    </r>
    <r>
      <rPr>
        <sz val="10"/>
        <rFont val="Calibri"/>
        <family val="2"/>
        <scheme val="minor"/>
      </rPr>
      <t>-h</t>
    </r>
    <r>
      <rPr>
        <vertAlign val="subscript"/>
        <sz val="10"/>
        <rFont val="Calibri"/>
        <family val="2"/>
        <scheme val="minor"/>
      </rPr>
      <t>sB</t>
    </r>
    <r>
      <rPr>
        <sz val="10"/>
        <rFont val="Calibri"/>
        <family val="2"/>
        <scheme val="minor"/>
      </rPr>
      <t>)-(h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-h</t>
    </r>
    <r>
      <rPr>
        <vertAlign val="subscript"/>
        <sz val="10"/>
        <rFont val="Calibri"/>
        <family val="2"/>
        <scheme val="minor"/>
      </rPr>
      <t>s2</t>
    </r>
    <r>
      <rPr>
        <sz val="10"/>
        <rFont val="Calibri"/>
        <family val="2"/>
        <scheme val="minor"/>
      </rPr>
      <t>)) /                                  (ln((h</t>
    </r>
    <r>
      <rPr>
        <vertAlign val="subscript"/>
        <sz val="10"/>
        <rFont val="Calibri"/>
        <family val="2"/>
        <scheme val="minor"/>
      </rPr>
      <t>B</t>
    </r>
    <r>
      <rPr>
        <sz val="10"/>
        <rFont val="Calibri"/>
        <family val="2"/>
        <scheme val="minor"/>
      </rPr>
      <t>-h</t>
    </r>
    <r>
      <rPr>
        <vertAlign val="subscript"/>
        <sz val="10"/>
        <rFont val="Calibri"/>
        <family val="2"/>
        <scheme val="minor"/>
      </rPr>
      <t>sB</t>
    </r>
    <r>
      <rPr>
        <sz val="10"/>
        <rFont val="Calibri"/>
        <family val="2"/>
        <scheme val="minor"/>
      </rPr>
      <t>)/(h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-h</t>
    </r>
    <r>
      <rPr>
        <vertAlign val="subscript"/>
        <sz val="10"/>
        <rFont val="Calibri"/>
        <family val="2"/>
        <scheme val="minor"/>
      </rPr>
      <t>s2</t>
    </r>
    <r>
      <rPr>
        <sz val="10"/>
        <rFont val="Calibri"/>
        <family val="2"/>
        <scheme val="minor"/>
      </rPr>
      <t>))</t>
    </r>
  </si>
  <si>
    <r>
      <t>A</t>
    </r>
    <r>
      <rPr>
        <vertAlign val="subscript"/>
        <sz val="8"/>
        <rFont val="Calibri"/>
        <family val="2"/>
        <scheme val="minor"/>
      </rPr>
      <t>cW</t>
    </r>
    <r>
      <rPr>
        <sz val="8"/>
        <rFont val="Calibri"/>
        <family val="2"/>
        <scheme val="minor"/>
      </rPr>
      <t xml:space="preserve"> = 0.243*R</t>
    </r>
    <r>
      <rPr>
        <vertAlign val="subscript"/>
        <sz val="8"/>
        <rFont val="Calibri"/>
        <family val="2"/>
        <scheme val="minor"/>
      </rPr>
      <t>aW</t>
    </r>
    <r>
      <rPr>
        <sz val="8"/>
        <rFont val="Calibri"/>
        <family val="2"/>
        <scheme val="minor"/>
      </rPr>
      <t>*q</t>
    </r>
    <r>
      <rPr>
        <vertAlign val="subscript"/>
        <sz val="8"/>
        <rFont val="Calibri"/>
        <family val="2"/>
        <scheme val="minor"/>
      </rPr>
      <t>tW</t>
    </r>
    <r>
      <rPr>
        <sz val="8"/>
        <rFont val="Calibri"/>
        <family val="2"/>
        <scheme val="minor"/>
      </rPr>
      <t>/Δh</t>
    </r>
    <r>
      <rPr>
        <vertAlign val="subscript"/>
        <sz val="8"/>
        <rFont val="Calibri"/>
        <family val="2"/>
        <scheme val="minor"/>
      </rPr>
      <t>m</t>
    </r>
  </si>
  <si>
    <r>
      <t>h</t>
    </r>
    <r>
      <rPr>
        <vertAlign val="subscript"/>
        <sz val="9"/>
        <color theme="1"/>
        <rFont val="Calibri"/>
        <family val="2"/>
        <scheme val="minor"/>
      </rPr>
      <t>Lhca</t>
    </r>
    <r>
      <rPr>
        <sz val="9"/>
        <color theme="1"/>
        <rFont val="Calibri"/>
        <family val="2"/>
        <scheme val="minor"/>
      </rPr>
      <t>/ F</t>
    </r>
    <r>
      <rPr>
        <vertAlign val="subscript"/>
        <sz val="9"/>
        <color theme="1"/>
        <rFont val="Calibri"/>
        <family val="2"/>
        <scheme val="minor"/>
      </rPr>
      <t>h</t>
    </r>
  </si>
  <si>
    <r>
      <t>F</t>
    </r>
    <r>
      <rPr>
        <vertAlign val="subscript"/>
        <sz val="9"/>
        <rFont val="Calibri"/>
        <family val="2"/>
        <scheme val="minor"/>
      </rPr>
      <t>a</t>
    </r>
    <r>
      <rPr>
        <sz val="9"/>
        <rFont val="Calibri"/>
        <family val="2"/>
        <scheme val="minor"/>
      </rPr>
      <t xml:space="preserve"> = (460+0.5*(t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+t</t>
    </r>
    <r>
      <rPr>
        <vertAlign val="subscript"/>
        <sz val="9"/>
        <rFont val="Calibri"/>
        <family val="2"/>
        <scheme val="minor"/>
      </rPr>
      <t>2db</t>
    </r>
    <r>
      <rPr>
        <sz val="9"/>
        <rFont val="Calibri"/>
        <family val="2"/>
        <scheme val="minor"/>
      </rPr>
      <t>))/ (17.71*P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)</t>
    </r>
  </si>
  <si>
    <r>
      <t>F</t>
    </r>
    <r>
      <rPr>
        <vertAlign val="subscript"/>
        <sz val="9"/>
        <rFont val="Calibri"/>
        <family val="2"/>
        <scheme val="minor"/>
      </rPr>
      <t>a</t>
    </r>
  </si>
  <si>
    <r>
      <t>Δp</t>
    </r>
    <r>
      <rPr>
        <vertAlign val="subscript"/>
        <sz val="9"/>
        <color theme="1"/>
        <rFont val="Calibri"/>
        <family val="2"/>
        <scheme val="minor"/>
      </rPr>
      <t>sW</t>
    </r>
    <r>
      <rPr>
        <sz val="9"/>
        <color theme="1"/>
        <rFont val="Calibri"/>
        <family val="2"/>
        <scheme val="minor"/>
      </rPr>
      <t>/N</t>
    </r>
    <r>
      <rPr>
        <vertAlign val="subscript"/>
        <sz val="9"/>
        <color theme="1"/>
        <rFont val="Calibri"/>
        <family val="2"/>
        <scheme val="minor"/>
      </rPr>
      <t>r</t>
    </r>
  </si>
  <si>
    <r>
      <t>(ΔP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)</t>
    </r>
    <r>
      <rPr>
        <vertAlign val="subscript"/>
        <sz val="9"/>
        <color theme="1"/>
        <rFont val="Calibri"/>
        <family val="2"/>
        <scheme val="minor"/>
      </rPr>
      <t>JOB</t>
    </r>
    <r>
      <rPr>
        <sz val="9"/>
        <color theme="1"/>
        <rFont val="Calibri"/>
        <family val="2"/>
        <scheme val="minor"/>
      </rPr>
      <t>= (</t>
    </r>
    <r>
      <rPr>
        <sz val="9"/>
        <color theme="1"/>
        <rFont val="Calibri"/>
        <family val="2"/>
      </rPr>
      <t>Δp</t>
    </r>
    <r>
      <rPr>
        <vertAlign val="subscript"/>
        <sz val="9"/>
        <color theme="1"/>
        <rFont val="Calibri"/>
        <family val="2"/>
      </rPr>
      <t>sW</t>
    </r>
    <r>
      <rPr>
        <sz val="9"/>
        <color theme="1"/>
        <rFont val="Calibri"/>
        <family val="2"/>
      </rPr>
      <t>/N</t>
    </r>
    <r>
      <rPr>
        <vertAlign val="subscript"/>
        <sz val="9"/>
        <color theme="1"/>
        <rFont val="Calibri"/>
        <family val="2"/>
      </rPr>
      <t>r</t>
    </r>
    <r>
      <rPr>
        <sz val="9"/>
        <color theme="1"/>
        <rFont val="Calibri"/>
        <family val="2"/>
      </rPr>
      <t>)</t>
    </r>
    <r>
      <rPr>
        <sz val="9"/>
        <color theme="1"/>
        <rFont val="Calibri"/>
        <family val="2"/>
        <scheme val="minor"/>
      </rPr>
      <t>*F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*N</t>
    </r>
    <r>
      <rPr>
        <vertAlign val="subscript"/>
        <sz val="9"/>
        <color theme="1"/>
        <rFont val="Calibri"/>
        <family val="2"/>
        <scheme val="minor"/>
      </rPr>
      <t>r</t>
    </r>
  </si>
  <si>
    <r>
      <t>(Δp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 xml:space="preserve">)  </t>
    </r>
    <r>
      <rPr>
        <vertAlign val="subscript"/>
        <sz val="9"/>
        <color theme="1"/>
        <rFont val="Calibri"/>
        <family val="2"/>
        <scheme val="minor"/>
      </rPr>
      <t>JOB</t>
    </r>
  </si>
  <si>
    <r>
      <t>Δp</t>
    </r>
    <r>
      <rPr>
        <vertAlign val="subscript"/>
        <sz val="9"/>
        <color theme="1"/>
        <rFont val="Calibri"/>
        <family val="2"/>
        <scheme val="minor"/>
      </rPr>
      <t>r</t>
    </r>
  </si>
  <si>
    <r>
      <t>(Δp</t>
    </r>
    <r>
      <rPr>
        <vertAlign val="subscript"/>
        <sz val="8"/>
        <color theme="1"/>
        <rFont val="Calibri"/>
        <family val="2"/>
        <scheme val="minor"/>
      </rPr>
      <t>w</t>
    </r>
    <r>
      <rPr>
        <sz val="8"/>
        <color theme="1"/>
        <rFont val="Calibri"/>
        <family val="2"/>
        <scheme val="minor"/>
      </rPr>
      <t>)</t>
    </r>
    <r>
      <rPr>
        <vertAlign val="subscript"/>
        <sz val="8"/>
        <color theme="1"/>
        <rFont val="Calibri"/>
        <family val="2"/>
        <scheme val="minor"/>
      </rPr>
      <t>JOB</t>
    </r>
    <r>
      <rPr>
        <sz val="8"/>
        <color theme="1"/>
        <rFont val="Calibri"/>
        <family val="2"/>
        <scheme val="minor"/>
      </rPr>
      <t xml:space="preserve"> = (h</t>
    </r>
    <r>
      <rPr>
        <vertAlign val="subscript"/>
        <sz val="8"/>
        <color theme="1"/>
        <rFont val="Calibri"/>
        <family val="2"/>
        <scheme val="minor"/>
      </rPr>
      <t>Lhca</t>
    </r>
    <r>
      <rPr>
        <sz val="8"/>
        <color theme="1"/>
        <rFont val="Calibri"/>
        <family val="2"/>
        <scheme val="minor"/>
      </rPr>
      <t>*F</t>
    </r>
    <r>
      <rPr>
        <vertAlign val="subscript"/>
        <sz val="8"/>
        <color theme="1"/>
        <rFont val="Calibri"/>
        <family val="2"/>
        <scheme val="minor"/>
      </rPr>
      <t>h</t>
    </r>
    <r>
      <rPr>
        <sz val="8"/>
        <color theme="1"/>
        <rFont val="Calibri"/>
        <family val="2"/>
        <scheme val="minor"/>
      </rPr>
      <t>) + (L</t>
    </r>
    <r>
      <rPr>
        <vertAlign val="subscript"/>
        <sz val="8"/>
        <color theme="1"/>
        <rFont val="Calibri"/>
        <family val="2"/>
        <scheme val="minor"/>
      </rPr>
      <t>e</t>
    </r>
    <r>
      <rPr>
        <sz val="8"/>
        <color theme="1"/>
        <rFont val="Calibri"/>
        <family val="2"/>
        <scheme val="minor"/>
      </rPr>
      <t>*(</t>
    </r>
    <r>
      <rPr>
        <sz val="8"/>
        <color theme="1"/>
        <rFont val="Calibri"/>
        <family val="2"/>
      </rPr>
      <t>Δp</t>
    </r>
    <r>
      <rPr>
        <vertAlign val="subscript"/>
        <sz val="8"/>
        <color theme="1"/>
        <rFont val="Calibri"/>
        <family val="2"/>
      </rPr>
      <t>t</t>
    </r>
    <r>
      <rPr>
        <sz val="8"/>
        <color theme="1"/>
        <rFont val="Calibri"/>
        <family val="2"/>
      </rPr>
      <t>/L</t>
    </r>
    <r>
      <rPr>
        <vertAlign val="subscript"/>
        <sz val="8"/>
        <color theme="1"/>
        <rFont val="Calibri"/>
        <family val="2"/>
      </rPr>
      <t>e</t>
    </r>
    <r>
      <rPr>
        <sz val="8"/>
        <color theme="1"/>
        <rFont val="Calibri"/>
        <family val="2"/>
      </rPr>
      <t>F</t>
    </r>
    <r>
      <rPr>
        <vertAlign val="subscript"/>
        <sz val="8"/>
        <color theme="1"/>
        <rFont val="Calibri"/>
        <family val="2"/>
      </rPr>
      <t>t</t>
    </r>
    <r>
      <rPr>
        <sz val="8"/>
        <color theme="1"/>
        <rFont val="Calibri"/>
        <family val="2"/>
      </rPr>
      <t>)</t>
    </r>
    <r>
      <rPr>
        <sz val="8"/>
        <color theme="1"/>
        <rFont val="Calibri"/>
        <family val="2"/>
        <scheme val="minor"/>
      </rPr>
      <t>*F</t>
    </r>
    <r>
      <rPr>
        <vertAlign val="subscript"/>
        <sz val="8"/>
        <color theme="1"/>
        <rFont val="Calibri"/>
        <family val="2"/>
        <scheme val="minor"/>
      </rPr>
      <t>t</t>
    </r>
    <r>
      <rPr>
        <sz val="8"/>
        <color theme="1"/>
        <rFont val="Calibri"/>
        <family val="2"/>
        <scheme val="minor"/>
      </rPr>
      <t>)</t>
    </r>
  </si>
  <si>
    <r>
      <t>Δp</t>
    </r>
    <r>
      <rPr>
        <vertAlign val="subscript"/>
        <sz val="9"/>
        <rFont val="Calibri"/>
        <family val="2"/>
        <scheme val="minor"/>
      </rPr>
      <t>rh</t>
    </r>
    <r>
      <rPr>
        <sz val="9"/>
        <rFont val="Calibri"/>
        <family val="2"/>
        <scheme val="minor"/>
      </rPr>
      <t>/v</t>
    </r>
    <r>
      <rPr>
        <vertAlign val="subscript"/>
        <sz val="9"/>
        <rFont val="Calibri"/>
        <family val="2"/>
        <scheme val="minor"/>
      </rPr>
      <t>r2g</t>
    </r>
    <r>
      <rPr>
        <sz val="9"/>
        <rFont val="Calibri"/>
        <family val="2"/>
        <scheme val="minor"/>
      </rPr>
      <t xml:space="preserve"> - Outlet Header Refrigerant Pressure Drop Parameter with w</t>
    </r>
    <r>
      <rPr>
        <vertAlign val="subscript"/>
        <sz val="9"/>
        <rFont val="Calibri"/>
        <family val="2"/>
        <scheme val="minor"/>
      </rPr>
      <t>r</t>
    </r>
  </si>
  <si>
    <r>
      <t>Δp</t>
    </r>
    <r>
      <rPr>
        <vertAlign val="subscript"/>
        <sz val="8"/>
        <rFont val="Calibri"/>
        <family val="2"/>
        <scheme val="minor"/>
      </rPr>
      <t>r</t>
    </r>
    <r>
      <rPr>
        <sz val="8"/>
        <rFont val="Calibri"/>
        <family val="2"/>
        <scheme val="minor"/>
      </rPr>
      <t xml:space="preserve"> = (v</t>
    </r>
    <r>
      <rPr>
        <vertAlign val="subscript"/>
        <sz val="8"/>
        <rFont val="Calibri"/>
        <family val="2"/>
        <scheme val="minor"/>
      </rPr>
      <t>r2g</t>
    </r>
    <r>
      <rPr>
        <sz val="8"/>
        <rFont val="Calibri"/>
        <family val="2"/>
        <scheme val="minor"/>
      </rPr>
      <t>*(Δp</t>
    </r>
    <r>
      <rPr>
        <vertAlign val="subscript"/>
        <sz val="8"/>
        <rFont val="Calibri"/>
        <family val="2"/>
        <scheme val="minor"/>
      </rPr>
      <t>rc</t>
    </r>
    <r>
      <rPr>
        <sz val="8"/>
        <rFont val="Calibri"/>
        <family val="2"/>
        <scheme val="minor"/>
      </rPr>
      <t>/(L</t>
    </r>
    <r>
      <rPr>
        <vertAlign val="sub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>*v</t>
    </r>
    <r>
      <rPr>
        <vertAlign val="subscript"/>
        <sz val="8"/>
        <rFont val="Calibri"/>
        <family val="2"/>
        <scheme val="minor"/>
      </rPr>
      <t>r2g</t>
    </r>
    <r>
      <rPr>
        <sz val="8"/>
        <rFont val="Calibri"/>
        <family val="2"/>
        <scheme val="minor"/>
      </rPr>
      <t>)*L</t>
    </r>
    <r>
      <rPr>
        <vertAlign val="subscript"/>
        <sz val="8"/>
        <rFont val="Calibri"/>
        <family val="2"/>
        <scheme val="minor"/>
      </rPr>
      <t xml:space="preserve">e </t>
    </r>
    <r>
      <rPr>
        <sz val="8"/>
        <rFont val="Calibri"/>
        <family val="2"/>
        <scheme val="minor"/>
      </rPr>
      <t>+Δp</t>
    </r>
    <r>
      <rPr>
        <vertAlign val="subscript"/>
        <sz val="8"/>
        <rFont val="Calibri"/>
        <family val="2"/>
        <scheme val="minor"/>
      </rPr>
      <t>rh</t>
    </r>
    <r>
      <rPr>
        <sz val="8"/>
        <rFont val="Calibri"/>
        <family val="2"/>
        <scheme val="minor"/>
      </rPr>
      <t>/v</t>
    </r>
    <r>
      <rPr>
        <vertAlign val="subscript"/>
        <sz val="8"/>
        <rFont val="Calibri"/>
        <family val="2"/>
        <scheme val="minor"/>
      </rPr>
      <t xml:space="preserve">r2g </t>
    </r>
    <r>
      <rPr>
        <sz val="8"/>
        <rFont val="Calibri"/>
        <family val="2"/>
        <scheme val="minor"/>
      </rPr>
      <t>)</t>
    </r>
  </si>
  <si>
    <t>Calculated Number of Coil Rows Required</t>
  </si>
  <si>
    <r>
      <t>N</t>
    </r>
    <r>
      <rPr>
        <vertAlign val="subscript"/>
        <sz val="8"/>
        <color theme="1"/>
        <rFont val="Calibri"/>
        <family val="2"/>
        <scheme val="minor"/>
      </rPr>
      <t>r</t>
    </r>
    <r>
      <rPr>
        <sz val="8"/>
        <color theme="1"/>
        <rFont val="Calibri"/>
        <family val="2"/>
        <scheme val="minor"/>
      </rPr>
      <t xml:space="preserve"> = A</t>
    </r>
    <r>
      <rPr>
        <vertAlign val="subscript"/>
        <sz val="8"/>
        <color theme="1"/>
        <rFont val="Calibri"/>
        <family val="2"/>
        <scheme val="minor"/>
      </rPr>
      <t>c</t>
    </r>
    <r>
      <rPr>
        <sz val="8"/>
        <color theme="1"/>
        <rFont val="Calibri"/>
        <family val="2"/>
        <scheme val="minor"/>
      </rPr>
      <t>/(A</t>
    </r>
    <r>
      <rPr>
        <vertAlign val="subscript"/>
        <sz val="8"/>
        <color theme="1"/>
        <rFont val="Calibri"/>
        <family val="2"/>
        <scheme val="minor"/>
      </rPr>
      <t>f</t>
    </r>
    <r>
      <rPr>
        <sz val="8"/>
        <color theme="1"/>
        <rFont val="Calibri"/>
        <family val="2"/>
        <scheme val="minor"/>
      </rPr>
      <t>*(A</t>
    </r>
    <r>
      <rPr>
        <vertAlign val="subscript"/>
        <sz val="8"/>
        <color theme="1"/>
        <rFont val="Calibri"/>
        <family val="2"/>
        <scheme val="minor"/>
      </rPr>
      <t>o</t>
    </r>
    <r>
      <rPr>
        <sz val="8"/>
        <color theme="1"/>
        <rFont val="Calibri"/>
        <family val="2"/>
        <scheme val="minor"/>
      </rPr>
      <t>/(A</t>
    </r>
    <r>
      <rPr>
        <vertAlign val="subscript"/>
        <sz val="8"/>
        <color theme="1"/>
        <rFont val="Calibri"/>
        <family val="2"/>
        <scheme val="minor"/>
      </rPr>
      <t>f</t>
    </r>
    <r>
      <rPr>
        <sz val="8"/>
        <color theme="1"/>
        <rFont val="Calibri"/>
        <family val="2"/>
        <scheme val="minor"/>
      </rPr>
      <t>*N</t>
    </r>
    <r>
      <rPr>
        <vertAlign val="subscript"/>
        <sz val="8"/>
        <color theme="1"/>
        <rFont val="Calibri"/>
        <family val="2"/>
        <scheme val="minor"/>
      </rPr>
      <t>r</t>
    </r>
    <r>
      <rPr>
        <sz val="8"/>
        <color theme="1"/>
        <rFont val="Calibri"/>
        <family val="2"/>
        <scheme val="minor"/>
      </rPr>
      <t>)))</t>
    </r>
  </si>
  <si>
    <t>Total Calculated External Surface Area                                        Note: For Case I and II in Item 29, skip Items 100 and 101.               For Case III in Item 29, skip Items 98 and 99.</t>
  </si>
  <si>
    <t>_</t>
  </si>
  <si>
    <r>
      <t>c = A</t>
    </r>
    <r>
      <rPr>
        <vertAlign val="subscript"/>
        <sz val="9"/>
        <color theme="1"/>
        <rFont val="Calibri"/>
        <family val="2"/>
        <scheme val="minor"/>
      </rPr>
      <t>o</t>
    </r>
    <r>
      <rPr>
        <sz val="9"/>
        <color theme="1"/>
        <rFont val="Calibri"/>
        <family val="2"/>
        <scheme val="minor"/>
      </rPr>
      <t>/(.243*R</t>
    </r>
    <r>
      <rPr>
        <vertAlign val="subscript"/>
        <sz val="9"/>
        <color theme="1"/>
        <rFont val="Calibri"/>
        <family val="2"/>
        <scheme val="minor"/>
      </rPr>
      <t>aD</t>
    </r>
    <r>
      <rPr>
        <sz val="9"/>
        <color theme="1"/>
        <rFont val="Calibri"/>
        <family val="2"/>
        <scheme val="minor"/>
      </rPr>
      <t>*(60w</t>
    </r>
    <r>
      <rPr>
        <vertAlign val="subscript"/>
        <sz val="9"/>
        <color theme="1"/>
        <rFont val="Calibri"/>
        <family val="2"/>
        <scheme val="minor"/>
      </rPr>
      <t>a)</t>
    </r>
    <r>
      <rPr>
        <sz val="9"/>
        <color theme="1"/>
        <rFont val="Calibri"/>
        <family val="2"/>
        <scheme val="minor"/>
      </rPr>
      <t>)</t>
    </r>
  </si>
  <si>
    <r>
      <t>h</t>
    </r>
    <r>
      <rPr>
        <vertAlign val="subscript"/>
        <sz val="9"/>
        <rFont val="Calibri"/>
        <family val="2"/>
      </rPr>
      <t>s̅</t>
    </r>
  </si>
  <si>
    <r>
      <t>h</t>
    </r>
    <r>
      <rPr>
        <vertAlign val="sub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= h</t>
    </r>
    <r>
      <rPr>
        <vertAlign val="sub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>-([q</t>
    </r>
    <r>
      <rPr>
        <vertAlign val="subscript"/>
        <sz val="8"/>
        <color theme="1"/>
        <rFont val="Calibri"/>
        <family val="2"/>
        <scheme val="minor"/>
      </rPr>
      <t>t</t>
    </r>
    <r>
      <rPr>
        <sz val="8"/>
        <color theme="1"/>
        <rFont val="Calibri"/>
        <family val="2"/>
        <scheme val="minor"/>
      </rPr>
      <t xml:space="preserve"> (Item 32 or 101)]/60w</t>
    </r>
    <r>
      <rPr>
        <vertAlign val="subscript"/>
        <sz val="8"/>
        <color theme="1"/>
        <rFont val="Calibri"/>
        <family val="2"/>
        <scheme val="minor"/>
      </rPr>
      <t>a</t>
    </r>
    <r>
      <rPr>
        <sz val="8"/>
        <color theme="1"/>
        <rFont val="Calibri"/>
        <family val="2"/>
        <scheme val="minor"/>
      </rPr>
      <t>)</t>
    </r>
  </si>
  <si>
    <r>
      <t>h</t>
    </r>
    <r>
      <rPr>
        <vertAlign val="subscript"/>
        <sz val="8"/>
        <rFont val="Calibri"/>
        <family val="2"/>
        <scheme val="minor"/>
      </rPr>
      <t>s</t>
    </r>
    <r>
      <rPr>
        <vertAlign val="subscript"/>
        <sz val="8"/>
        <rFont val="Calibri"/>
        <family val="2"/>
      </rPr>
      <t>̅</t>
    </r>
    <r>
      <rPr>
        <sz val="8"/>
        <rFont val="Calibri"/>
        <family val="2"/>
        <scheme val="minor"/>
      </rPr>
      <t xml:space="preserve"> = h</t>
    </r>
    <r>
      <rPr>
        <vertAlign val="sub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- (h</t>
    </r>
    <r>
      <rPr>
        <vertAlign val="sub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>-h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)/ (1.0-e</t>
    </r>
    <r>
      <rPr>
        <vertAlign val="superscript"/>
        <sz val="8"/>
        <rFont val="Calibri"/>
        <family val="2"/>
        <scheme val="minor"/>
      </rPr>
      <t>-c</t>
    </r>
    <r>
      <rPr>
        <sz val="8"/>
        <rFont val="Calibri"/>
        <family val="2"/>
        <scheme val="minor"/>
      </rPr>
      <t>)</t>
    </r>
  </si>
  <si>
    <r>
      <t>t</t>
    </r>
    <r>
      <rPr>
        <vertAlign val="subscript"/>
        <sz val="9"/>
        <rFont val="Calibri"/>
        <family val="2"/>
        <scheme val="minor"/>
      </rPr>
      <t>s</t>
    </r>
    <r>
      <rPr>
        <vertAlign val="subscript"/>
        <sz val="9"/>
        <rFont val="Calibri"/>
        <family val="2"/>
      </rPr>
      <t>̅</t>
    </r>
  </si>
  <si>
    <r>
      <t>Effective Surface Temperature from Psychrometric Chart with 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 xml:space="preserve"> and h</t>
    </r>
    <r>
      <rPr>
        <vertAlign val="subscript"/>
        <sz val="9"/>
        <rFont val="Calibri"/>
        <family val="2"/>
        <scheme val="minor"/>
      </rPr>
      <t>s</t>
    </r>
    <r>
      <rPr>
        <vertAlign val="subscript"/>
        <sz val="9"/>
        <rFont val="Calibri"/>
        <family val="2"/>
      </rPr>
      <t>̅</t>
    </r>
  </si>
  <si>
    <r>
      <t>t</t>
    </r>
    <r>
      <rPr>
        <vertAlign val="subscript"/>
        <sz val="9"/>
        <rFont val="Calibri"/>
        <family val="2"/>
        <scheme val="minor"/>
      </rPr>
      <t>2db</t>
    </r>
  </si>
  <si>
    <r>
      <t>t</t>
    </r>
    <r>
      <rPr>
        <vertAlign val="subscript"/>
        <sz val="8"/>
        <rFont val="Calibri"/>
        <family val="2"/>
        <scheme val="minor"/>
      </rPr>
      <t>2db</t>
    </r>
    <r>
      <rPr>
        <sz val="8"/>
        <rFont val="Calibri"/>
        <family val="2"/>
        <scheme val="minor"/>
      </rPr>
      <t xml:space="preserve"> = t</t>
    </r>
    <r>
      <rPr>
        <vertAlign val="subscript"/>
        <sz val="8"/>
        <rFont val="Calibri"/>
        <family val="2"/>
        <scheme val="minor"/>
      </rPr>
      <t>s</t>
    </r>
    <r>
      <rPr>
        <vertAlign val="subscript"/>
        <sz val="8"/>
        <rFont val="Calibri"/>
        <family val="2"/>
      </rPr>
      <t>̅</t>
    </r>
    <r>
      <rPr>
        <sz val="8"/>
        <rFont val="Calibri"/>
        <family val="2"/>
        <scheme val="minor"/>
      </rPr>
      <t xml:space="preserve"> + (t</t>
    </r>
    <r>
      <rPr>
        <vertAlign val="subscript"/>
        <sz val="8"/>
        <rFont val="Calibri"/>
        <family val="2"/>
        <scheme val="minor"/>
      </rPr>
      <t xml:space="preserve">1db </t>
    </r>
    <r>
      <rPr>
        <sz val="8"/>
        <rFont val="Calibri"/>
        <family val="2"/>
        <scheme val="minor"/>
      </rPr>
      <t>- t</t>
    </r>
    <r>
      <rPr>
        <vertAlign val="subscript"/>
        <sz val="8"/>
        <rFont val="Calibri"/>
        <family val="2"/>
        <scheme val="minor"/>
      </rPr>
      <t>s</t>
    </r>
    <r>
      <rPr>
        <vertAlign val="subscript"/>
        <sz val="8"/>
        <rFont val="Calibri"/>
        <family val="2"/>
      </rPr>
      <t>̅</t>
    </r>
    <r>
      <rPr>
        <sz val="8"/>
        <rFont val="Calibri"/>
        <family val="2"/>
        <scheme val="minor"/>
      </rPr>
      <t>)*e</t>
    </r>
    <r>
      <rPr>
        <vertAlign val="superscript"/>
        <sz val="8"/>
        <rFont val="Calibri"/>
        <family val="2"/>
        <scheme val="minor"/>
      </rPr>
      <t>-c</t>
    </r>
  </si>
  <si>
    <r>
      <t>Case III - (Solve for Capacity)  If N</t>
    </r>
    <r>
      <rPr>
        <vertAlign val="subscript"/>
        <sz val="9"/>
        <rFont val="Calibri"/>
        <family val="2"/>
        <scheme val="minor"/>
      </rPr>
      <t>r</t>
    </r>
    <r>
      <rPr>
        <sz val="9"/>
        <rFont val="Calibri"/>
        <family val="2"/>
        <scheme val="minor"/>
      </rPr>
      <t xml:space="preserve"> is known, assume q</t>
    </r>
    <r>
      <rPr>
        <vertAlign val="subscript"/>
        <sz val="9"/>
        <rFont val="Calibri"/>
        <family val="2"/>
        <scheme val="minor"/>
      </rPr>
      <t>t</t>
    </r>
    <r>
      <rPr>
        <sz val="9"/>
        <rFont val="Calibri"/>
        <family val="2"/>
        <scheme val="minor"/>
      </rPr>
      <t xml:space="preserve"> or t</t>
    </r>
    <r>
      <rPr>
        <vertAlign val="subscript"/>
        <sz val="9"/>
        <rFont val="Calibri"/>
        <family val="2"/>
        <scheme val="minor"/>
      </rPr>
      <t>2wb</t>
    </r>
    <r>
      <rPr>
        <sz val="9"/>
        <rFont val="Calibri"/>
        <family val="2"/>
        <scheme val="minor"/>
      </rPr>
      <t>, find 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and then t</t>
    </r>
    <r>
      <rPr>
        <vertAlign val="subscript"/>
        <sz val="9"/>
        <rFont val="Calibri"/>
        <family val="2"/>
        <scheme val="minor"/>
      </rPr>
      <t>2wb</t>
    </r>
    <r>
      <rPr>
        <sz val="9"/>
        <rFont val="Calibri"/>
        <family val="2"/>
        <scheme val="minor"/>
      </rPr>
      <t xml:space="preserve"> or q</t>
    </r>
    <r>
      <rPr>
        <vertAlign val="subscript"/>
        <sz val="9"/>
        <rFont val="Calibri"/>
        <family val="2"/>
        <scheme val="minor"/>
      </rPr>
      <t>t</t>
    </r>
    <r>
      <rPr>
        <sz val="9"/>
        <rFont val="Calibri"/>
        <family val="2"/>
        <scheme val="minor"/>
      </rPr>
      <t>, respectively.</t>
    </r>
  </si>
  <si>
    <r>
      <t>Case I - (Solve for Rows) If t</t>
    </r>
    <r>
      <rPr>
        <vertAlign val="subscript"/>
        <sz val="9"/>
        <rFont val="Calibri"/>
        <family val="2"/>
        <scheme val="minor"/>
      </rPr>
      <t>2wb</t>
    </r>
    <r>
      <rPr>
        <sz val="9"/>
        <rFont val="Calibri"/>
        <family val="2"/>
        <scheme val="minor"/>
      </rPr>
      <t xml:space="preserve"> is known, determine 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at t</t>
    </r>
    <r>
      <rPr>
        <vertAlign val="subscript"/>
        <sz val="9"/>
        <rFont val="Calibri"/>
        <family val="2"/>
        <scheme val="minor"/>
      </rPr>
      <t>2wb</t>
    </r>
    <r>
      <rPr>
        <sz val="9"/>
        <rFont val="Calibri"/>
        <family val="2"/>
        <scheme val="minor"/>
      </rPr>
      <t xml:space="preserve"> saturated and 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.  Then calculate q</t>
    </r>
    <r>
      <rPr>
        <vertAlign val="subscript"/>
        <sz val="9"/>
        <rFont val="Calibri"/>
        <family val="2"/>
        <scheme val="minor"/>
      </rPr>
      <t>t</t>
    </r>
    <r>
      <rPr>
        <sz val="9"/>
        <rFont val="Calibri"/>
        <family val="2"/>
        <scheme val="minor"/>
      </rPr>
      <t xml:space="preserve"> = 60w</t>
    </r>
    <r>
      <rPr>
        <vertAlign val="subscript"/>
        <sz val="9"/>
        <rFont val="Calibri"/>
        <family val="2"/>
        <scheme val="minor"/>
      </rPr>
      <t>a</t>
    </r>
    <r>
      <rPr>
        <sz val="9"/>
        <rFont val="Calibri"/>
        <family val="2"/>
        <scheme val="minor"/>
      </rPr>
      <t>(h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)</t>
    </r>
  </si>
  <si>
    <r>
      <t>Case II - (Solve for Rows)  If q</t>
    </r>
    <r>
      <rPr>
        <vertAlign val="subscript"/>
        <sz val="9"/>
        <rFont val="Calibri"/>
        <family val="2"/>
        <scheme val="minor"/>
      </rPr>
      <t>t</t>
    </r>
    <r>
      <rPr>
        <sz val="9"/>
        <rFont val="Calibri"/>
        <family val="2"/>
        <scheme val="minor"/>
      </rPr>
      <t xml:space="preserve"> is known, determine 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and then t</t>
    </r>
    <r>
      <rPr>
        <vertAlign val="subscript"/>
        <sz val="9"/>
        <rFont val="Calibri"/>
        <family val="2"/>
        <scheme val="minor"/>
      </rPr>
      <t>2wb</t>
    </r>
    <r>
      <rPr>
        <sz val="9"/>
        <rFont val="Calibri"/>
        <family val="2"/>
        <scheme val="minor"/>
      </rPr>
      <t>.  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= 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-(q</t>
    </r>
    <r>
      <rPr>
        <vertAlign val="subscript"/>
        <sz val="9"/>
        <rFont val="Calibri"/>
        <family val="2"/>
        <scheme val="minor"/>
      </rPr>
      <t>t</t>
    </r>
    <r>
      <rPr>
        <sz val="9"/>
        <rFont val="Calibri"/>
        <family val="2"/>
        <scheme val="minor"/>
      </rPr>
      <t>/60w</t>
    </r>
    <r>
      <rPr>
        <vertAlign val="subscript"/>
        <sz val="9"/>
        <rFont val="Calibri"/>
        <family val="2"/>
        <scheme val="minor"/>
      </rPr>
      <t>a</t>
    </r>
    <r>
      <rPr>
        <sz val="9"/>
        <rFont val="Calibri"/>
        <family val="2"/>
        <scheme val="minor"/>
      </rPr>
      <t>)</t>
    </r>
  </si>
  <si>
    <r>
      <t xml:space="preserve">     </t>
    </r>
    <r>
      <rPr>
        <u/>
        <sz val="9"/>
        <rFont val="Calibri"/>
        <family val="2"/>
        <scheme val="minor"/>
      </rPr>
      <t>For a Partially Dry Surface:</t>
    </r>
    <r>
      <rPr>
        <sz val="9"/>
        <rFont val="Calibri"/>
        <family val="2"/>
        <scheme val="minor"/>
      </rPr>
      <t xml:space="preserve">     If h</t>
    </r>
    <r>
      <rPr>
        <vertAlign val="subscript"/>
        <sz val="9"/>
        <rFont val="Calibri"/>
        <family val="2"/>
        <scheme val="minor"/>
      </rPr>
      <t>m</t>
    </r>
    <r>
      <rPr>
        <sz val="9"/>
        <rFont val="Calibri"/>
        <family val="2"/>
        <scheme val="minor"/>
      </rPr>
      <t xml:space="preserve"> &gt;= h</t>
    </r>
    <r>
      <rPr>
        <vertAlign val="subscript"/>
        <sz val="9"/>
        <rFont val="Calibri"/>
        <family val="2"/>
        <scheme val="minor"/>
      </rPr>
      <t>B</t>
    </r>
    <r>
      <rPr>
        <sz val="9"/>
        <rFont val="Calibri"/>
        <family val="2"/>
        <scheme val="minor"/>
      </rPr>
      <t xml:space="preserve"> complete Items        79, 80, 83, etc. (Skip Items 81 and 82).     If   h</t>
    </r>
    <r>
      <rPr>
        <vertAlign val="subscript"/>
        <sz val="9"/>
        <rFont val="Calibri"/>
        <family val="2"/>
        <scheme val="minor"/>
      </rPr>
      <t>m</t>
    </r>
    <r>
      <rPr>
        <sz val="9"/>
        <rFont val="Calibri"/>
        <family val="2"/>
        <scheme val="minor"/>
      </rPr>
      <t xml:space="preserve"> &lt; h</t>
    </r>
    <r>
      <rPr>
        <vertAlign val="subscript"/>
        <sz val="9"/>
        <rFont val="Calibri"/>
        <family val="2"/>
        <scheme val="minor"/>
      </rPr>
      <t xml:space="preserve">B                            </t>
    </r>
    <r>
      <rPr>
        <sz val="9"/>
        <rFont val="Calibri"/>
        <family val="2"/>
        <scheme val="minor"/>
      </rPr>
      <t xml:space="preserve"> complete Items 81,82, 83,etc.  (Skip Items 79 and 80)             </t>
    </r>
    <r>
      <rPr>
        <u/>
        <sz val="9"/>
        <rFont val="Calibri"/>
        <family val="2"/>
        <scheme val="minor"/>
      </rPr>
      <t>For a Fully Wet Surface:</t>
    </r>
    <r>
      <rPr>
        <sz val="9"/>
        <rFont val="Calibri"/>
        <family val="2"/>
        <scheme val="minor"/>
      </rPr>
      <t xml:space="preserve">   Complete Items 81, 82, 83, etc.         (Skip Items 79 and 80 ) </t>
    </r>
  </si>
  <si>
    <r>
      <t>Dynamic Viscosity of Water at Tube Wall Temp., t</t>
    </r>
    <r>
      <rPr>
        <vertAlign val="subscript"/>
        <sz val="9"/>
        <color theme="1"/>
        <rFont val="Calibri"/>
        <family val="2"/>
        <scheme val="minor"/>
      </rPr>
      <t xml:space="preserve">twm </t>
    </r>
    <r>
      <rPr>
        <sz val="9"/>
        <color theme="1"/>
        <rFont val="Calibri"/>
        <family val="2"/>
        <scheme val="minor"/>
      </rPr>
      <t xml:space="preserve"> (Item 80 or 82)</t>
    </r>
  </si>
  <si>
    <r>
      <t>t</t>
    </r>
    <r>
      <rPr>
        <vertAlign val="subscript"/>
        <sz val="9"/>
        <rFont val="Calibri"/>
        <family val="2"/>
        <scheme val="minor"/>
      </rPr>
      <t>mdb</t>
    </r>
  </si>
  <si>
    <r>
      <t>= t</t>
    </r>
    <r>
      <rPr>
        <vertAlign val="subscript"/>
        <sz val="8"/>
        <rFont val="Calibri"/>
        <family val="2"/>
        <scheme val="minor"/>
      </rPr>
      <t>1db</t>
    </r>
    <r>
      <rPr>
        <sz val="8"/>
        <rFont val="Calibri"/>
        <family val="2"/>
        <scheme val="minor"/>
      </rPr>
      <t xml:space="preserve"> - (0.5*q</t>
    </r>
    <r>
      <rPr>
        <vertAlign val="subscript"/>
        <sz val="8"/>
        <rFont val="Calibri"/>
        <family val="2"/>
        <scheme val="minor"/>
      </rPr>
      <t>t</t>
    </r>
    <r>
      <rPr>
        <sz val="8"/>
        <rFont val="Calibri"/>
        <family val="2"/>
        <scheme val="minor"/>
      </rPr>
      <t>)/(0.243*60w</t>
    </r>
    <r>
      <rPr>
        <vertAlign val="subscript"/>
        <sz val="8"/>
        <rFont val="Calibri"/>
        <family val="2"/>
        <scheme val="minor"/>
      </rPr>
      <t>a</t>
    </r>
    <r>
      <rPr>
        <sz val="8"/>
        <rFont val="Calibri"/>
        <family val="2"/>
        <scheme val="minor"/>
      </rPr>
      <t>)</t>
    </r>
  </si>
  <si>
    <r>
      <t>t</t>
    </r>
    <r>
      <rPr>
        <vertAlign val="subscript"/>
        <sz val="9"/>
        <rFont val="Calibri"/>
        <family val="2"/>
        <scheme val="minor"/>
      </rPr>
      <t>twm</t>
    </r>
  </si>
  <si>
    <r>
      <t>= t</t>
    </r>
    <r>
      <rPr>
        <vertAlign val="subscript"/>
        <sz val="8"/>
        <rFont val="Calibri"/>
        <family val="2"/>
        <scheme val="minor"/>
      </rPr>
      <t>wm</t>
    </r>
    <r>
      <rPr>
        <sz val="8"/>
        <rFont val="Calibri"/>
        <family val="2"/>
        <scheme val="minor"/>
      </rPr>
      <t xml:space="preserve"> + (t</t>
    </r>
    <r>
      <rPr>
        <vertAlign val="subscript"/>
        <sz val="8"/>
        <rFont val="Calibri"/>
        <family val="2"/>
        <scheme val="minor"/>
      </rPr>
      <t>mdb</t>
    </r>
    <r>
      <rPr>
        <sz val="8"/>
        <rFont val="Calibri"/>
        <family val="2"/>
        <scheme val="minor"/>
      </rPr>
      <t xml:space="preserve"> - t</t>
    </r>
    <r>
      <rPr>
        <vertAlign val="subscript"/>
        <sz val="8"/>
        <rFont val="Calibri"/>
        <family val="2"/>
        <scheme val="minor"/>
      </rPr>
      <t>twm</t>
    </r>
    <r>
      <rPr>
        <sz val="8"/>
        <rFont val="Calibri"/>
        <family val="2"/>
        <scheme val="minor"/>
      </rPr>
      <t>)*(R</t>
    </r>
    <r>
      <rPr>
        <vertAlign val="subscript"/>
        <sz val="8"/>
        <rFont val="Calibri"/>
        <family val="2"/>
        <scheme val="minor"/>
      </rPr>
      <t>w</t>
    </r>
    <r>
      <rPr>
        <sz val="8"/>
        <rFont val="Calibri"/>
        <family val="2"/>
        <scheme val="minor"/>
      </rPr>
      <t>)/(R</t>
    </r>
    <r>
      <rPr>
        <vertAlign val="subscript"/>
        <sz val="8"/>
        <rFont val="Calibri"/>
        <family val="2"/>
        <scheme val="minor"/>
      </rPr>
      <t>aD</t>
    </r>
    <r>
      <rPr>
        <sz val="8"/>
        <rFont val="Calibri"/>
        <family val="2"/>
        <scheme val="minor"/>
      </rPr>
      <t>+R</t>
    </r>
    <r>
      <rPr>
        <vertAlign val="subscript"/>
        <sz val="8"/>
        <rFont val="Calibri"/>
        <family val="2"/>
        <scheme val="minor"/>
      </rPr>
      <t>mD</t>
    </r>
    <r>
      <rPr>
        <sz val="8"/>
        <rFont val="Calibri"/>
        <family val="2"/>
        <scheme val="minor"/>
      </rPr>
      <t>+R</t>
    </r>
    <r>
      <rPr>
        <vertAlign val="subscript"/>
        <sz val="8"/>
        <rFont val="Calibri"/>
        <family val="2"/>
        <scheme val="minor"/>
      </rPr>
      <t>w</t>
    </r>
    <r>
      <rPr>
        <sz val="8"/>
        <rFont val="Calibri"/>
        <family val="2"/>
        <scheme val="minor"/>
      </rPr>
      <t>)</t>
    </r>
  </si>
  <si>
    <r>
      <t>t</t>
    </r>
    <r>
      <rPr>
        <vertAlign val="subscript"/>
        <sz val="9"/>
        <rFont val="Calibri"/>
        <family val="2"/>
        <scheme val="minor"/>
      </rPr>
      <t>sm</t>
    </r>
  </si>
  <si>
    <r>
      <t>From Fig 9 with P</t>
    </r>
    <r>
      <rPr>
        <vertAlign val="subscript"/>
        <sz val="8"/>
        <rFont val="Calibri"/>
        <family val="2"/>
        <scheme val="minor"/>
      </rPr>
      <t>s</t>
    </r>
    <r>
      <rPr>
        <sz val="8"/>
        <rFont val="Calibri"/>
        <family val="2"/>
        <scheme val="minor"/>
      </rPr>
      <t>, t</t>
    </r>
    <r>
      <rPr>
        <vertAlign val="subscript"/>
        <sz val="8"/>
        <rFont val="Calibri"/>
        <family val="2"/>
        <scheme val="minor"/>
      </rPr>
      <t>wm</t>
    </r>
    <r>
      <rPr>
        <sz val="8"/>
        <rFont val="Calibri"/>
        <family val="2"/>
        <scheme val="minor"/>
      </rPr>
      <t>, C and h</t>
    </r>
    <r>
      <rPr>
        <vertAlign val="subscript"/>
        <sz val="8"/>
        <rFont val="Calibri"/>
        <family val="2"/>
        <scheme val="minor"/>
      </rPr>
      <t>m</t>
    </r>
  </si>
  <si>
    <r>
      <t>= t</t>
    </r>
    <r>
      <rPr>
        <vertAlign val="subscript"/>
        <sz val="8"/>
        <rFont val="Calibri"/>
        <family val="2"/>
        <scheme val="minor"/>
      </rPr>
      <t>wm</t>
    </r>
    <r>
      <rPr>
        <sz val="8"/>
        <rFont val="Calibri"/>
        <family val="2"/>
        <scheme val="minor"/>
      </rPr>
      <t>+R</t>
    </r>
    <r>
      <rPr>
        <vertAlign val="subscript"/>
        <sz val="8"/>
        <rFont val="Calibri"/>
        <family val="2"/>
        <scheme val="minor"/>
      </rPr>
      <t>w</t>
    </r>
    <r>
      <rPr>
        <sz val="8"/>
        <rFont val="Calibri"/>
        <family val="2"/>
        <scheme val="minor"/>
      </rPr>
      <t>*(t</t>
    </r>
    <r>
      <rPr>
        <vertAlign val="subscript"/>
        <sz val="8"/>
        <rFont val="Calibri"/>
        <family val="2"/>
        <scheme val="minor"/>
      </rPr>
      <t>sm</t>
    </r>
    <r>
      <rPr>
        <sz val="8"/>
        <rFont val="Calibri"/>
        <family val="2"/>
        <scheme val="minor"/>
      </rPr>
      <t xml:space="preserve"> - t</t>
    </r>
    <r>
      <rPr>
        <vertAlign val="subscript"/>
        <sz val="8"/>
        <rFont val="Calibri"/>
        <family val="2"/>
        <scheme val="minor"/>
      </rPr>
      <t>wm</t>
    </r>
    <r>
      <rPr>
        <sz val="8"/>
        <rFont val="Calibri"/>
        <family val="2"/>
        <scheme val="minor"/>
      </rPr>
      <t>)/(R</t>
    </r>
    <r>
      <rPr>
        <vertAlign val="subscript"/>
        <sz val="8"/>
        <rFont val="Calibri"/>
        <family val="2"/>
        <scheme val="minor"/>
      </rPr>
      <t>mW</t>
    </r>
    <r>
      <rPr>
        <sz val="8"/>
        <rFont val="Calibri"/>
        <family val="2"/>
        <scheme val="minor"/>
      </rPr>
      <t xml:space="preserve"> + R</t>
    </r>
    <r>
      <rPr>
        <vertAlign val="subscript"/>
        <sz val="8"/>
        <rFont val="Calibri"/>
        <family val="2"/>
        <scheme val="minor"/>
      </rPr>
      <t>w</t>
    </r>
    <r>
      <rPr>
        <sz val="8"/>
        <rFont val="Calibri"/>
        <family val="2"/>
        <scheme val="minor"/>
      </rPr>
      <t>)</t>
    </r>
  </si>
  <si>
    <r>
      <t>Calculated Dynamic Viscosity Ratio (VR</t>
    </r>
    <r>
      <rPr>
        <vertAlign val="subscript"/>
        <sz val="9"/>
        <rFont val="Calibri"/>
        <family val="2"/>
        <scheme val="minor"/>
      </rPr>
      <t>calc</t>
    </r>
    <r>
      <rPr>
        <sz val="9"/>
        <rFont val="Calibri"/>
        <family val="2"/>
        <scheme val="minor"/>
      </rPr>
      <t>)  If VR</t>
    </r>
    <r>
      <rPr>
        <vertAlign val="subscript"/>
        <sz val="9"/>
        <rFont val="Calibri"/>
        <family val="2"/>
        <scheme val="minor"/>
      </rPr>
      <t>init</t>
    </r>
    <r>
      <rPr>
        <sz val="9"/>
        <rFont val="Calibri"/>
        <family val="2"/>
        <scheme val="minor"/>
      </rPr>
      <t xml:space="preserve"> is </t>
    </r>
    <r>
      <rPr>
        <b/>
        <u/>
        <sz val="9"/>
        <rFont val="Calibri"/>
        <family val="2"/>
        <scheme val="minor"/>
      </rPr>
      <t>not</t>
    </r>
    <r>
      <rPr>
        <sz val="9"/>
        <rFont val="Calibri"/>
        <family val="2"/>
        <scheme val="minor"/>
      </rPr>
      <t xml:space="preserve"> within 2 % of VR</t>
    </r>
    <r>
      <rPr>
        <vertAlign val="subscript"/>
        <sz val="9"/>
        <rFont val="Calibri"/>
        <family val="2"/>
        <scheme val="minor"/>
      </rPr>
      <t xml:space="preserve">calc </t>
    </r>
    <r>
      <rPr>
        <sz val="9"/>
        <rFont val="Calibri"/>
        <family val="2"/>
        <scheme val="minor"/>
      </rPr>
      <t>, use VR</t>
    </r>
    <r>
      <rPr>
        <vertAlign val="subscript"/>
        <sz val="9"/>
        <rFont val="Calibri"/>
        <family val="2"/>
        <scheme val="minor"/>
      </rPr>
      <t>calc</t>
    </r>
    <r>
      <rPr>
        <sz val="9"/>
        <rFont val="Calibri"/>
        <family val="2"/>
        <scheme val="minor"/>
      </rPr>
      <t xml:space="preserve"> as new VR</t>
    </r>
    <r>
      <rPr>
        <vertAlign val="subscript"/>
        <sz val="9"/>
        <rFont val="Calibri"/>
        <family val="2"/>
        <scheme val="minor"/>
      </rPr>
      <t>init</t>
    </r>
    <r>
      <rPr>
        <sz val="9"/>
        <rFont val="Calibri"/>
        <family val="2"/>
        <scheme val="minor"/>
      </rPr>
      <t xml:space="preserve"> and recalculate starting at Item 57    Otherwise, procede to next Item</t>
    </r>
  </si>
  <si>
    <t>Approximate Tube-Side Fluid Temp at Dry-Wet Boundary</t>
  </si>
  <si>
    <r>
      <t>Air Dry-Bulb Temp where Tube-Side Fluid Temp Equals t</t>
    </r>
    <r>
      <rPr>
        <vertAlign val="subscript"/>
        <sz val="9"/>
        <rFont val="Calibri"/>
        <family val="2"/>
        <scheme val="minor"/>
      </rPr>
      <t>wm</t>
    </r>
  </si>
  <si>
    <r>
      <t>Surface Temp Where Tube-Side Fluid Temp Equals t</t>
    </r>
    <r>
      <rPr>
        <vertAlign val="subscript"/>
        <sz val="9"/>
        <rFont val="Calibri"/>
        <family val="2"/>
        <scheme val="minor"/>
      </rPr>
      <t>wm</t>
    </r>
  </si>
  <si>
    <r>
      <t>q</t>
    </r>
    <r>
      <rPr>
        <vertAlign val="subscript"/>
        <sz val="9"/>
        <rFont val="Calibri"/>
        <family val="2"/>
        <scheme val="minor"/>
      </rPr>
      <t>s</t>
    </r>
  </si>
  <si>
    <r>
      <t>q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/q</t>
    </r>
    <r>
      <rPr>
        <vertAlign val="subscript"/>
        <sz val="9"/>
        <rFont val="Calibri"/>
        <family val="2"/>
        <scheme val="minor"/>
      </rPr>
      <t>t</t>
    </r>
  </si>
  <si>
    <t>Sensible Heat Ratio</t>
  </si>
  <si>
    <t>Sensible Heat Transfer Capacity of Coil</t>
  </si>
  <si>
    <t>CALCULATIONS TO DETERMINE AIR LEAVING DRY-BULB TEMPERATURE AND SENSIBLE CAPACITY</t>
  </si>
  <si>
    <r>
      <t>q</t>
    </r>
    <r>
      <rPr>
        <vertAlign val="subscript"/>
        <sz val="8"/>
        <rFont val="Calibri"/>
        <family val="2"/>
        <scheme val="minor"/>
      </rPr>
      <t xml:space="preserve">s </t>
    </r>
    <r>
      <rPr>
        <sz val="8"/>
        <rFont val="Calibri"/>
        <family val="2"/>
        <scheme val="minor"/>
      </rPr>
      <t>= .243*(60w</t>
    </r>
    <r>
      <rPr>
        <vertAlign val="subscript"/>
        <sz val="8"/>
        <rFont val="Calibri"/>
        <family val="2"/>
        <scheme val="minor"/>
      </rPr>
      <t>a</t>
    </r>
    <r>
      <rPr>
        <sz val="8"/>
        <rFont val="Calibri"/>
        <family val="2"/>
        <scheme val="minor"/>
      </rPr>
      <t>)*(t</t>
    </r>
    <r>
      <rPr>
        <vertAlign val="subscript"/>
        <sz val="8"/>
        <rFont val="Calibri"/>
        <family val="2"/>
        <scheme val="minor"/>
      </rPr>
      <t>1db</t>
    </r>
    <r>
      <rPr>
        <sz val="8"/>
        <rFont val="Calibri"/>
        <family val="2"/>
        <scheme val="minor"/>
      </rPr>
      <t xml:space="preserve"> - t</t>
    </r>
    <r>
      <rPr>
        <vertAlign val="subscript"/>
        <sz val="8"/>
        <rFont val="Calibri"/>
        <family val="2"/>
        <scheme val="minor"/>
      </rPr>
      <t>2db</t>
    </r>
    <r>
      <rPr>
        <sz val="8"/>
        <rFont val="Calibri"/>
        <family val="2"/>
        <scheme val="minor"/>
      </rPr>
      <t>)</t>
    </r>
  </si>
  <si>
    <r>
      <t>Selection of h</t>
    </r>
    <r>
      <rPr>
        <vertAlign val="subscript"/>
        <sz val="9"/>
        <color theme="1"/>
        <rFont val="Calibri"/>
        <family val="2"/>
        <scheme val="minor"/>
      </rPr>
      <t xml:space="preserve">Bcalc  </t>
    </r>
    <r>
      <rPr>
        <sz val="9"/>
        <color theme="1"/>
        <rFont val="Calibri"/>
        <family val="2"/>
        <scheme val="minor"/>
      </rPr>
      <t>from below</t>
    </r>
  </si>
  <si>
    <r>
      <t>Selection of h</t>
    </r>
    <r>
      <rPr>
        <vertAlign val="subscript"/>
        <sz val="8"/>
        <color theme="1"/>
        <rFont val="Calibri"/>
        <family val="2"/>
        <scheme val="minor"/>
      </rPr>
      <t xml:space="preserve">Bcalc  </t>
    </r>
    <r>
      <rPr>
        <sz val="8"/>
        <color theme="1"/>
        <rFont val="Calibri"/>
        <family val="2"/>
        <scheme val="minor"/>
      </rPr>
      <t>from below</t>
    </r>
  </si>
  <si>
    <r>
      <t>Selection of h</t>
    </r>
    <r>
      <rPr>
        <vertAlign val="subscript"/>
        <sz val="9"/>
        <color theme="1"/>
        <rFont val="Calibri"/>
        <family val="2"/>
        <scheme val="minor"/>
      </rPr>
      <t>Bcalc</t>
    </r>
  </si>
  <si>
    <r>
      <t>h</t>
    </r>
    <r>
      <rPr>
        <vertAlign val="subscript"/>
        <sz val="9"/>
        <color theme="1"/>
        <rFont val="Calibri"/>
        <family val="2"/>
        <scheme val="minor"/>
      </rPr>
      <t>Bcalc</t>
    </r>
    <r>
      <rPr>
        <sz val="9"/>
        <color theme="1"/>
        <rFont val="Calibri"/>
        <family val="2"/>
        <scheme val="minor"/>
      </rPr>
      <t xml:space="preserve"> can't exceed h</t>
    </r>
    <r>
      <rPr>
        <vertAlign val="subscript"/>
        <sz val="9"/>
        <color theme="1"/>
        <rFont val="Calibri"/>
        <family val="2"/>
        <scheme val="minor"/>
      </rPr>
      <t>1</t>
    </r>
  </si>
  <si>
    <t xml:space="preserve">Air Enthalpy at Boundary                                                              </t>
  </si>
  <si>
    <r>
      <t>N</t>
    </r>
    <r>
      <rPr>
        <vertAlign val="subscript"/>
        <sz val="9"/>
        <color theme="1"/>
        <rFont val="Calibri"/>
        <family val="2"/>
        <scheme val="minor"/>
      </rPr>
      <t>tr</t>
    </r>
  </si>
  <si>
    <t>Number of Tubes in each Coil Row</t>
  </si>
  <si>
    <r>
      <t>L</t>
    </r>
    <r>
      <rPr>
        <vertAlign val="subscript"/>
        <sz val="8"/>
        <color theme="1"/>
        <rFont val="Calibri"/>
        <family val="2"/>
        <scheme val="minor"/>
      </rPr>
      <t>e</t>
    </r>
    <r>
      <rPr>
        <sz val="8"/>
        <color theme="1"/>
        <rFont val="Calibri"/>
        <family val="2"/>
        <scheme val="minor"/>
      </rPr>
      <t xml:space="preserve"> = 1/12*((N</t>
    </r>
    <r>
      <rPr>
        <vertAlign val="subscript"/>
        <sz val="8"/>
        <color theme="1"/>
        <rFont val="Calibri"/>
        <family val="2"/>
        <scheme val="minor"/>
      </rPr>
      <t>r</t>
    </r>
    <r>
      <rPr>
        <sz val="8"/>
        <color theme="1"/>
        <rFont val="Calibri"/>
        <family val="2"/>
        <scheme val="minor"/>
      </rPr>
      <t>*(L</t>
    </r>
    <r>
      <rPr>
        <vertAlign val="subscript"/>
        <sz val="8"/>
        <color theme="1"/>
        <rFont val="Calibri"/>
        <family val="2"/>
        <scheme val="minor"/>
      </rPr>
      <t xml:space="preserve">s </t>
    </r>
    <r>
      <rPr>
        <sz val="8"/>
        <color theme="1"/>
        <rFont val="Calibri"/>
        <family val="2"/>
        <scheme val="minor"/>
      </rPr>
      <t>+ K</t>
    </r>
    <r>
      <rPr>
        <vertAlign val="subscript"/>
        <sz val="8"/>
        <color theme="1"/>
        <rFont val="Calibri"/>
        <family val="2"/>
        <scheme val="minor"/>
      </rPr>
      <t>b</t>
    </r>
    <r>
      <rPr>
        <sz val="8"/>
        <color theme="1"/>
        <rFont val="Calibri"/>
        <family val="2"/>
        <scheme val="minor"/>
      </rPr>
      <t>)*(N</t>
    </r>
    <r>
      <rPr>
        <vertAlign val="subscript"/>
        <sz val="8"/>
        <color theme="1"/>
        <rFont val="Calibri"/>
        <family val="2"/>
        <scheme val="minor"/>
      </rPr>
      <t>tr</t>
    </r>
    <r>
      <rPr>
        <sz val="8"/>
        <color theme="1"/>
        <rFont val="Calibri"/>
        <family val="2"/>
        <scheme val="minor"/>
      </rPr>
      <t>/N</t>
    </r>
    <r>
      <rPr>
        <vertAlign val="subscript"/>
        <sz val="8"/>
        <color theme="1"/>
        <rFont val="Calibri"/>
        <family val="2"/>
        <scheme val="minor"/>
      </rPr>
      <t>c</t>
    </r>
    <r>
      <rPr>
        <sz val="8"/>
        <color theme="1"/>
        <rFont val="Calibri"/>
        <family val="2"/>
        <scheme val="minor"/>
      </rPr>
      <t>)) - K</t>
    </r>
    <r>
      <rPr>
        <vertAlign val="subscript"/>
        <sz val="8"/>
        <color theme="1"/>
        <rFont val="Calibri"/>
        <family val="2"/>
        <scheme val="minor"/>
      </rPr>
      <t>b</t>
    </r>
    <r>
      <rPr>
        <sz val="8"/>
        <color theme="1"/>
        <rFont val="Calibri"/>
        <family val="2"/>
        <scheme val="minor"/>
      </rPr>
      <t>)</t>
    </r>
  </si>
  <si>
    <t>Coil Depth in Rows   (Not known for "Solve for Rows" option)</t>
  </si>
  <si>
    <t>Coil Row Depth Installed for "Solve for Rows" option</t>
  </si>
  <si>
    <r>
      <t>Mean Tube-Side Fluid Temperature for Fully-Wet Coil or Wet Portion of Partially Dry Coil</t>
    </r>
    <r>
      <rPr>
        <sz val="10"/>
        <color theme="1"/>
        <rFont val="Calibri"/>
        <family val="2"/>
        <scheme val="minor"/>
      </rPr>
      <t/>
    </r>
  </si>
  <si>
    <r>
      <t>y = (t</t>
    </r>
    <r>
      <rPr>
        <vertAlign val="subscript"/>
        <sz val="9"/>
        <rFont val="Calibri"/>
        <family val="2"/>
        <scheme val="minor"/>
      </rPr>
      <t xml:space="preserve">r1 </t>
    </r>
    <r>
      <rPr>
        <sz val="9"/>
        <rFont val="Calibri"/>
        <family val="2"/>
        <scheme val="minor"/>
      </rPr>
      <t>- t</t>
    </r>
    <r>
      <rPr>
        <vertAlign val="subscript"/>
        <sz val="9"/>
        <rFont val="Calibri"/>
        <family val="2"/>
        <scheme val="minor"/>
      </rPr>
      <t>rc2g</t>
    </r>
    <r>
      <rPr>
        <sz val="9"/>
        <rFont val="Calibri"/>
        <family val="2"/>
        <scheme val="minor"/>
      </rPr>
      <t>)/(h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)</t>
    </r>
  </si>
  <si>
    <r>
      <t>Enthalpy of Saturated Air at Air Entering Side of Wet Portion.                                                                                                - From 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, and t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 xml:space="preserve"> - For Fully-Wet Coils                                          h</t>
    </r>
    <r>
      <rPr>
        <vertAlign val="subscript"/>
        <sz val="9"/>
        <rFont val="Calibri"/>
        <family val="2"/>
        <scheme val="minor"/>
      </rPr>
      <t>sB</t>
    </r>
    <r>
      <rPr>
        <sz val="9"/>
        <rFont val="Calibri"/>
        <family val="2"/>
        <scheme val="minor"/>
      </rPr>
      <t xml:space="preserve"> = h</t>
    </r>
    <r>
      <rPr>
        <vertAlign val="subscript"/>
        <sz val="9"/>
        <rFont val="Calibri"/>
        <family val="2"/>
        <scheme val="minor"/>
      </rPr>
      <t>1dp</t>
    </r>
    <r>
      <rPr>
        <sz val="9"/>
        <rFont val="Calibri"/>
        <family val="2"/>
        <scheme val="minor"/>
      </rPr>
      <t xml:space="preserve"> (Item 67) for Partially Dry Coils                        </t>
    </r>
  </si>
  <si>
    <r>
      <t xml:space="preserve">    t</t>
    </r>
    <r>
      <rPr>
        <vertAlign val="subscript"/>
        <sz val="9"/>
        <color theme="1"/>
        <rFont val="Calibri"/>
        <family val="2"/>
        <scheme val="minor"/>
      </rPr>
      <t>s1</t>
    </r>
    <r>
      <rPr>
        <sz val="9"/>
        <color theme="1"/>
        <rFont val="Calibri"/>
        <family val="2"/>
        <scheme val="minor"/>
      </rPr>
      <t xml:space="preserve">        or    t</t>
    </r>
    <r>
      <rPr>
        <vertAlign val="subscript"/>
        <sz val="9"/>
        <color theme="1"/>
        <rFont val="Calibri"/>
        <family val="2"/>
        <scheme val="minor"/>
      </rPr>
      <t>sB</t>
    </r>
  </si>
  <si>
    <t>Choose Calculation Method</t>
  </si>
  <si>
    <t>Choose Surface Condition</t>
  </si>
  <si>
    <t>Choose Coil Type</t>
  </si>
  <si>
    <t>78*</t>
  </si>
  <si>
    <t>71*</t>
  </si>
  <si>
    <t>* If Solving for Rows and Item 5 is unknown</t>
  </si>
  <si>
    <t>83*</t>
  </si>
  <si>
    <t>76*</t>
  </si>
  <si>
    <t>Approx. Mean Surface Temp. for Fully Wet Coil or Wet Portion of Partially Dry Coil                                                                    (With Items 64, 70, and 71)</t>
  </si>
  <si>
    <t>Air-Side Heat Transfer Multiplier for Wet Coil or Wet Portion of Partially Dry Coil                                                                                   (From Equation 44)</t>
  </si>
  <si>
    <r>
      <t xml:space="preserve"> Surface Temperature at Air Entering Side of Wet Portion with:                       
   - 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, 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, t</t>
    </r>
    <r>
      <rPr>
        <vertAlign val="subscript"/>
        <sz val="9"/>
        <rFont val="Calibri"/>
        <family val="2"/>
        <scheme val="minor"/>
      </rPr>
      <t>w2</t>
    </r>
    <r>
      <rPr>
        <sz val="9"/>
        <rFont val="Calibri"/>
        <family val="2"/>
        <scheme val="minor"/>
      </rPr>
      <t>, and C (Items 24,27,34, &amp; 76) for Totally Wet Water Coils          
   - 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, 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, t</t>
    </r>
    <r>
      <rPr>
        <vertAlign val="subscript"/>
        <sz val="9"/>
        <rFont val="Calibri"/>
        <family val="2"/>
        <scheme val="minor"/>
      </rPr>
      <t>r1</t>
    </r>
    <r>
      <rPr>
        <sz val="9"/>
        <rFont val="Calibri"/>
        <family val="2"/>
        <scheme val="minor"/>
      </rPr>
      <t>, and C (Items 24,27,45 &amp; 76) for Totally Wet Thermal Counterflow  Volatile
     Refrigerant Coils                  
   - 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, 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, t</t>
    </r>
    <r>
      <rPr>
        <vertAlign val="subscript"/>
        <sz val="9"/>
        <rFont val="Calibri"/>
        <family val="2"/>
        <scheme val="minor"/>
      </rPr>
      <t>rc2g</t>
    </r>
    <r>
      <rPr>
        <sz val="9"/>
        <rFont val="Calibri"/>
        <family val="2"/>
        <scheme val="minor"/>
      </rPr>
      <t>, and C (Items 24,27,44, &amp; 76) for Totally Wet Thermal Parallel Flow  Volatile
     Refrigerant Coils 
     Also, t</t>
    </r>
    <r>
      <rPr>
        <vertAlign val="subscript"/>
        <sz val="9"/>
        <rFont val="Calibri"/>
        <family val="2"/>
        <scheme val="minor"/>
      </rPr>
      <t>sB</t>
    </r>
    <r>
      <rPr>
        <sz val="9"/>
        <rFont val="Calibri"/>
        <family val="2"/>
        <scheme val="minor"/>
      </rPr>
      <t xml:space="preserve"> = t</t>
    </r>
    <r>
      <rPr>
        <vertAlign val="subscript"/>
        <sz val="9"/>
        <rFont val="Calibri"/>
        <family val="2"/>
        <scheme val="minor"/>
      </rPr>
      <t>1dp</t>
    </r>
    <r>
      <rPr>
        <sz val="9"/>
        <rFont val="Calibri"/>
        <family val="2"/>
        <scheme val="minor"/>
      </rPr>
      <t xml:space="preserve"> (Item 66)  for Partially Dry Water and Refrigerant Coils</t>
    </r>
  </si>
  <si>
    <r>
      <t>Surface Temperature at Air Leaving Side of Wet Portion with:                                          
- P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, h</t>
    </r>
    <r>
      <rPr>
        <vertAlign val="sub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, t</t>
    </r>
    <r>
      <rPr>
        <vertAlign val="subscript"/>
        <sz val="9"/>
        <color theme="1"/>
        <rFont val="Calibri"/>
        <family val="2"/>
        <scheme val="minor"/>
      </rPr>
      <t>w1</t>
    </r>
    <r>
      <rPr>
        <sz val="9"/>
        <color theme="1"/>
        <rFont val="Calibri"/>
        <family val="2"/>
        <scheme val="minor"/>
      </rPr>
      <t>, and C (Items 24,31,21 &amp; 76) for Wet Water Coils                                                                 
 - P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, h</t>
    </r>
    <r>
      <rPr>
        <vertAlign val="sub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, t</t>
    </r>
    <r>
      <rPr>
        <vertAlign val="subscript"/>
        <sz val="9"/>
        <color theme="1"/>
        <rFont val="Calibri"/>
        <family val="2"/>
        <scheme val="minor"/>
      </rPr>
      <t>rc2g</t>
    </r>
    <r>
      <rPr>
        <sz val="9"/>
        <color theme="1"/>
        <rFont val="Calibri"/>
        <family val="2"/>
        <scheme val="minor"/>
      </rPr>
      <t>, and C (Items 24,31,44 &amp; 76) for Wet Thermal Counterflow  Volatile Refrig Coils        
- P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, h</t>
    </r>
    <r>
      <rPr>
        <vertAlign val="sub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, t</t>
    </r>
    <r>
      <rPr>
        <vertAlign val="subscript"/>
        <sz val="9"/>
        <color theme="1"/>
        <rFont val="Calibri"/>
        <family val="2"/>
        <scheme val="minor"/>
      </rPr>
      <t>r1</t>
    </r>
    <r>
      <rPr>
        <sz val="9"/>
        <color theme="1"/>
        <rFont val="Calibri"/>
        <family val="2"/>
        <scheme val="minor"/>
      </rPr>
      <t xml:space="preserve">, and C (Items 24,31,45 &amp; 76) for Wet Thermal Parallel Flow  Volatile Refrig Coils                                       </t>
    </r>
  </si>
  <si>
    <r>
      <t>If A</t>
    </r>
    <r>
      <rPr>
        <vertAlign val="subscript"/>
        <sz val="9"/>
        <rFont val="Calibri"/>
        <family val="2"/>
        <scheme val="minor"/>
      </rPr>
      <t>c</t>
    </r>
    <r>
      <rPr>
        <sz val="9"/>
        <rFont val="Calibri"/>
        <family val="2"/>
        <scheme val="minor"/>
      </rPr>
      <t xml:space="preserve"> &gt; or &lt; A</t>
    </r>
    <r>
      <rPr>
        <vertAlign val="subscript"/>
        <sz val="9"/>
        <rFont val="Calibri"/>
        <family val="2"/>
        <scheme val="minor"/>
      </rPr>
      <t>o</t>
    </r>
    <r>
      <rPr>
        <sz val="9"/>
        <rFont val="Calibri"/>
        <family val="2"/>
        <scheme val="minor"/>
      </rPr>
      <t>, assume a new value of q</t>
    </r>
    <r>
      <rPr>
        <vertAlign val="subscript"/>
        <sz val="9"/>
        <rFont val="Calibri"/>
        <family val="2"/>
        <scheme val="minor"/>
      </rPr>
      <t>t</t>
    </r>
    <r>
      <rPr>
        <sz val="9"/>
        <rFont val="Calibri"/>
        <family val="2"/>
        <scheme val="minor"/>
      </rPr>
      <t xml:space="preserve"> that's &lt; or &gt; Item 32.  Repeat calculations from Item 29 through Item 97.          Plot calculated values of A</t>
    </r>
    <r>
      <rPr>
        <vertAlign val="subscript"/>
        <sz val="9"/>
        <rFont val="Calibri"/>
        <family val="2"/>
        <scheme val="minor"/>
      </rPr>
      <t>c</t>
    </r>
    <r>
      <rPr>
        <sz val="9"/>
        <rFont val="Calibri"/>
        <family val="2"/>
        <scheme val="minor"/>
      </rPr>
      <t xml:space="preserve"> against assumed values of Item 32 as shown in Fig. F410-6.1</t>
    </r>
  </si>
  <si>
    <r>
      <t>Determine the actual value of q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 xml:space="preserve"> from plot in Item 100  and enter value       (From Fig F410-6.1 with A</t>
    </r>
    <r>
      <rPr>
        <vertAlign val="subscript"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 xml:space="preserve"> = A</t>
    </r>
    <r>
      <rPr>
        <vertAlign val="subscript"/>
        <sz val="9"/>
        <color theme="1"/>
        <rFont val="Calibri"/>
        <family val="2"/>
        <scheme val="minor"/>
      </rPr>
      <t>o )</t>
    </r>
  </si>
  <si>
    <r>
      <t>Δp</t>
    </r>
    <r>
      <rPr>
        <vertAlign val="subscript"/>
        <sz val="10"/>
        <rFont val="Calibri"/>
        <family val="2"/>
        <scheme val="minor"/>
      </rPr>
      <t>rc</t>
    </r>
    <r>
      <rPr>
        <sz val="10"/>
        <rFont val="Calibri"/>
        <family val="2"/>
        <scheme val="minor"/>
      </rPr>
      <t>/(L</t>
    </r>
    <r>
      <rPr>
        <vertAlign val="subscript"/>
        <sz val="10"/>
        <rFont val="Calibri"/>
        <family val="2"/>
        <scheme val="minor"/>
      </rPr>
      <t>e*</t>
    </r>
    <r>
      <rPr>
        <sz val="10"/>
        <rFont val="Calibri"/>
        <family val="2"/>
        <scheme val="minor"/>
      </rPr>
      <t>v</t>
    </r>
    <r>
      <rPr>
        <vertAlign val="subscript"/>
        <sz val="10"/>
        <rFont val="Calibri"/>
        <family val="2"/>
        <scheme val="minor"/>
      </rPr>
      <t>r2g</t>
    </r>
    <r>
      <rPr>
        <sz val="10"/>
        <rFont val="Calibri"/>
        <family val="2"/>
        <scheme val="minor"/>
      </rPr>
      <t>) - Refrigerant Pressure Drop Parameter                     (From Fig. 18 with w</t>
    </r>
    <r>
      <rPr>
        <vertAlign val="subscript"/>
        <sz val="10"/>
        <rFont val="Calibri"/>
        <family val="2"/>
        <scheme val="minor"/>
      </rPr>
      <t>r</t>
    </r>
    <r>
      <rPr>
        <sz val="10"/>
        <rFont val="Calibri"/>
        <family val="2"/>
        <scheme val="minor"/>
      </rPr>
      <t>/N</t>
    </r>
    <r>
      <rPr>
        <vertAlign val="subscript"/>
        <sz val="10"/>
        <rFont val="Calibri"/>
        <family val="2"/>
        <scheme val="minor"/>
      </rPr>
      <t>c</t>
    </r>
    <r>
      <rPr>
        <sz val="10"/>
        <rFont val="Calibri"/>
        <family val="2"/>
        <scheme val="minor"/>
      </rPr>
      <t>)</t>
    </r>
  </si>
  <si>
    <r>
      <t>Colburn j Factor from Fig. 3 with Re</t>
    </r>
    <r>
      <rPr>
        <vertAlign val="subscript"/>
        <sz val="9"/>
        <color theme="1"/>
        <rFont val="Calibri"/>
        <family val="2"/>
        <scheme val="minor"/>
      </rPr>
      <t xml:space="preserve">w </t>
    </r>
    <r>
      <rPr>
        <sz val="9"/>
        <color theme="1"/>
        <rFont val="Calibri"/>
        <family val="2"/>
        <scheme val="minor"/>
      </rPr>
      <t>and L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/D</t>
    </r>
    <r>
      <rPr>
        <vertAlign val="subscript"/>
        <sz val="9"/>
        <color theme="1"/>
        <rFont val="Calibri"/>
        <family val="2"/>
        <scheme val="minor"/>
      </rPr>
      <t>i</t>
    </r>
  </si>
  <si>
    <r>
      <t>Air Film Thermal Resistance for Wet Surface                                          (From Fig. 17 or 18 with V</t>
    </r>
    <r>
      <rPr>
        <b/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)</t>
    </r>
  </si>
  <si>
    <r>
      <t>Air Film Thermal Resistance for Dry Surface                                         (From Fig. 17 or 18 with V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)</t>
    </r>
  </si>
  <si>
    <r>
      <t>Metal Thermal Resistance for Dry Surface                        (From Fig. 14 with f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= 1/R</t>
    </r>
    <r>
      <rPr>
        <vertAlign val="subscript"/>
        <sz val="9"/>
        <color theme="1"/>
        <rFont val="Calibri"/>
        <family val="2"/>
        <scheme val="minor"/>
      </rPr>
      <t>aD</t>
    </r>
    <r>
      <rPr>
        <sz val="9"/>
        <color theme="1"/>
        <rFont val="Calibri"/>
        <family val="2"/>
        <scheme val="minor"/>
      </rPr>
      <t>)</t>
    </r>
  </si>
  <si>
    <r>
      <t>Metal Thermal Resistance for Wet Surface                                             (From Fig. 14 with f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>)</t>
    </r>
  </si>
  <si>
    <r>
      <t>Air-Side Friction per Row Deep at Standard Conditions             (Use wet surface for partially dry and fully wet coils)               - From Fig. 17 with V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for Water Coils                                            - From Fig. 18 with V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for Volatile Refrigerant Coils</t>
    </r>
  </si>
  <si>
    <r>
      <t>Δp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/L</t>
    </r>
    <r>
      <rPr>
        <vertAlign val="subscript"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>F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 xml:space="preserve"> - Tube Circuit Water Pressure Drop Parameter at 60</t>
    </r>
    <r>
      <rPr>
        <sz val="9"/>
        <color theme="1"/>
        <rFont val="Arial"/>
        <family val="2"/>
      </rPr>
      <t>°</t>
    </r>
    <r>
      <rPr>
        <sz val="9"/>
        <color theme="1"/>
        <rFont val="Calibri"/>
        <family val="2"/>
        <scheme val="minor"/>
      </rPr>
      <t>F Mean Water Temp                     (From Fig. 16 with V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)</t>
    </r>
  </si>
  <si>
    <t xml:space="preserve">Header, Nozzle, and Tube Entrance and Exit Losses to be Established by Manufacturer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</si>
</sst>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6" formatCode="0.000"/>
    <numFmt numFmtId="167" formatCode="0.00000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</font>
    <font>
      <vertAlign val="superscript"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z val="9"/>
      <color theme="1"/>
      <name val="Calibri"/>
      <family val="2"/>
    </font>
    <font>
      <vertAlign val="subscript"/>
      <sz val="9"/>
      <color theme="1"/>
      <name val="Calibri"/>
      <family val="2"/>
    </font>
    <font>
      <vertAlign val="superscript"/>
      <sz val="9"/>
      <color theme="1"/>
      <name val="Calibri"/>
      <family val="2"/>
    </font>
    <font>
      <sz val="9"/>
      <name val="Calibri"/>
      <family val="2"/>
      <scheme val="minor"/>
    </font>
    <font>
      <vertAlign val="subscript"/>
      <sz val="9"/>
      <name val="Calibri"/>
      <family val="2"/>
      <scheme val="minor"/>
    </font>
    <font>
      <vertAlign val="subscript"/>
      <sz val="8"/>
      <color theme="1"/>
      <name val="Calibri"/>
      <family val="2"/>
    </font>
    <font>
      <strike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b/>
      <vertAlign val="subscript"/>
      <sz val="9"/>
      <color theme="1"/>
      <name val="Calibri"/>
      <family val="2"/>
      <scheme val="minor"/>
    </font>
    <font>
      <strike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Arial"/>
      <family val="2"/>
    </font>
    <font>
      <sz val="9"/>
      <name val="Calibri"/>
      <family val="2"/>
    </font>
    <font>
      <sz val="9.9"/>
      <name val="Calibri"/>
      <family val="2"/>
    </font>
    <font>
      <vertAlign val="superscript"/>
      <sz val="9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u/>
      <sz val="9"/>
      <name val="Calibri"/>
      <family val="2"/>
      <scheme val="minor"/>
    </font>
    <font>
      <vertAlign val="subscript"/>
      <sz val="9"/>
      <name val="Calibri"/>
      <family val="2"/>
    </font>
    <font>
      <vertAlign val="subscript"/>
      <sz val="8"/>
      <name val="Calibri"/>
      <family val="2"/>
    </font>
    <font>
      <u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1">
    <xf numFmtId="0" fontId="0" fillId="0" borderId="0" xfId="0"/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/>
    <xf numFmtId="0" fontId="4" fillId="0" borderId="7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7" xfId="0" quotePrefix="1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" fontId="0" fillId="3" borderId="7" xfId="0" quotePrefix="1" applyNumberFormat="1" applyFill="1" applyBorder="1" applyAlignment="1">
      <alignment horizontal="center" vertical="center"/>
    </xf>
    <xf numFmtId="0" fontId="0" fillId="3" borderId="0" xfId="0" applyFill="1"/>
    <xf numFmtId="0" fontId="5" fillId="0" borderId="7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1" xfId="0" quotePrefix="1" applyNumberFormat="1" applyBorder="1" applyAlignment="1">
      <alignment horizontal="center" vertical="center"/>
    </xf>
    <xf numFmtId="1" fontId="0" fillId="0" borderId="13" xfId="0" quotePrefix="1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21" fillId="0" borderId="7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5" fillId="3" borderId="9" xfId="0" applyFont="1" applyFill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8" fillId="0" borderId="7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18" fillId="0" borderId="6" xfId="0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0" fillId="0" borderId="15" xfId="0" applyBorder="1" applyAlignment="1">
      <alignment horizontal="left"/>
    </xf>
    <xf numFmtId="0" fontId="18" fillId="0" borderId="13" xfId="0" applyFont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1" fontId="0" fillId="3" borderId="13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166" fontId="5" fillId="0" borderId="13" xfId="0" applyNumberFormat="1" applyFont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3" borderId="8" xfId="0" quotePrefix="1" applyNumberFormat="1" applyFill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1" fontId="0" fillId="0" borderId="4" xfId="0" quotePrefix="1" applyNumberFormat="1" applyBorder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2" fontId="5" fillId="2" borderId="7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66" fontId="5" fillId="2" borderId="13" xfId="0" applyNumberFormat="1" applyFont="1" applyFill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67" fontId="5" fillId="2" borderId="13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center" vertical="center"/>
    </xf>
    <xf numFmtId="167" fontId="5" fillId="2" borderId="7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7" fontId="5" fillId="2" borderId="9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18" fillId="0" borderId="7" xfId="0" quotePrefix="1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8" fillId="0" borderId="11" xfId="0" applyFont="1" applyBorder="1" applyAlignment="1">
      <alignment vertical="center" wrapText="1"/>
    </xf>
    <xf numFmtId="0" fontId="31" fillId="0" borderId="11" xfId="0" applyFont="1" applyBorder="1" applyAlignment="1">
      <alignment vertical="center" wrapText="1"/>
    </xf>
    <xf numFmtId="166" fontId="5" fillId="0" borderId="7" xfId="0" applyNumberFormat="1" applyFont="1" applyBorder="1" applyAlignment="1">
      <alignment horizontal="center" vertical="center"/>
    </xf>
    <xf numFmtId="166" fontId="5" fillId="2" borderId="7" xfId="0" applyNumberFormat="1" applyFont="1" applyFill="1" applyBorder="1" applyAlignment="1">
      <alignment horizontal="center" vertical="center"/>
    </xf>
    <xf numFmtId="2" fontId="22" fillId="2" borderId="9" xfId="0" applyNumberFormat="1" applyFont="1" applyFill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165" fontId="5" fillId="2" borderId="9" xfId="0" applyNumberFormat="1" applyFont="1" applyFill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vertical="center" wrapText="1"/>
    </xf>
    <xf numFmtId="0" fontId="22" fillId="0" borderId="7" xfId="0" quotePrefix="1" applyFont="1" applyBorder="1" applyAlignment="1">
      <alignment vertical="center" wrapText="1"/>
    </xf>
    <xf numFmtId="0" fontId="22" fillId="0" borderId="7" xfId="0" quotePrefix="1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1" fontId="5" fillId="2" borderId="13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1" fontId="0" fillId="0" borderId="8" xfId="0" quotePrefix="1" applyNumberForma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5" borderId="0" xfId="0" applyNumberFormat="1" applyFont="1" applyFill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8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left" vertical="center"/>
    </xf>
    <xf numFmtId="0" fontId="0" fillId="0" borderId="7" xfId="0" applyBorder="1"/>
    <xf numFmtId="1" fontId="4" fillId="0" borderId="1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0" fillId="4" borderId="8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" fontId="0" fillId="0" borderId="1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textRotation="90" wrapText="1"/>
    </xf>
    <xf numFmtId="1" fontId="3" fillId="0" borderId="13" xfId="0" applyNumberFormat="1" applyFont="1" applyBorder="1" applyAlignment="1">
      <alignment horizontal="center" vertical="center" textRotation="90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textRotation="90" wrapText="1"/>
    </xf>
    <xf numFmtId="0" fontId="0" fillId="0" borderId="12" xfId="0" applyBorder="1" applyAlignment="1">
      <alignment horizontal="center" textRotation="90" wrapText="1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31" fillId="0" borderId="8" xfId="0" applyFont="1" applyBorder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31" fillId="0" borderId="9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5" xfId="0" applyBorder="1"/>
    <xf numFmtId="0" fontId="0" fillId="0" borderId="9" xfId="0" applyBorder="1"/>
    <xf numFmtId="0" fontId="22" fillId="0" borderId="8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3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8" fillId="0" borderId="1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5" fillId="0" borderId="2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0" fillId="0" borderId="0" xfId="0"/>
    <xf numFmtId="0" fontId="0" fillId="0" borderId="14" xfId="0" applyBorder="1"/>
    <xf numFmtId="0" fontId="3" fillId="0" borderId="4" xfId="0" applyFont="1" applyBorder="1" applyAlignment="1">
      <alignment horizontal="left" vertical="center"/>
    </xf>
    <xf numFmtId="0" fontId="0" fillId="0" borderId="6" xfId="0" applyBorder="1"/>
    <xf numFmtId="0" fontId="0" fillId="0" borderId="13" xfId="0" applyBorder="1" applyAlignment="1">
      <alignment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142875</xdr:colOff>
      <xdr:row>142</xdr:row>
      <xdr:rowOff>0</xdr:rowOff>
    </xdr:from>
    <xdr:to>
      <xdr:col>26</xdr:col>
      <xdr:colOff>370744</xdr:colOff>
      <xdr:row>147</xdr:row>
      <xdr:rowOff>218750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21E47B-4A80-E9D9-755F-DF5E87A83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72625" y="48120300"/>
          <a:ext cx="5847619" cy="2600000"/>
        </a:xfrm>
        <a:prstGeom prst="rect">
          <a:avLst/>
        </a:prstGeom>
      </xdr:spPr>
    </xdr:pic>
    <xdr:clientData/>
  </xdr:twoCellAnchor>
  <xdr:twoCellAnchor>
    <xdr:from>
      <xdr:col>20</xdr:col>
      <xdr:colOff>247650</xdr:colOff>
      <xdr:row>147</xdr:row>
      <xdr:rowOff>228601</xdr:rowOff>
    </xdr:from>
    <xdr:to>
      <xdr:col>22</xdr:col>
      <xdr:colOff>238125</xdr:colOff>
      <xdr:row>149</xdr:row>
      <xdr:rowOff>19051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9970164-2B2D-671C-6F99-A2E74F7A8EDA}"/>
            </a:ext>
          </a:extLst>
        </xdr:cNvPr>
        <xdr:cNvSpPr txBox="1"/>
      </xdr:nvSpPr>
      <xdr:spPr>
        <a:xfrm>
          <a:off x="11734800" y="50730151"/>
          <a:ext cx="111442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Figure F410-6.1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64"/>
  <sheetViews>
    <sheetView tabSelected="1" zoomScaleNormal="100" workbookViewId="0">
      <selection activeCell="H159" sqref="H159:K159"/>
    </sheetView>
  </sheetViews>
  <sheetFormatPr defaultRowHeight="15" x14ac:dyDescent="0.25"/>
  <cols>
    <col min="1" max="4" width="5.7109375" style="25" customWidth="1"/>
    <col min="5" max="5" width="5.42578125" customWidth="1"/>
    <col min="6" max="6" width="4.7109375" style="20" customWidth="1"/>
    <col min="7" max="7" width="5.28515625" style="48" customWidth="1"/>
    <col min="8" max="10" width="12.42578125" style="24" customWidth="1"/>
    <col min="11" max="11" width="9.5703125" style="24" customWidth="1"/>
    <col min="12" max="12" width="26.42578125" style="42" customWidth="1"/>
    <col min="13" max="13" width="8.7109375" style="29" customWidth="1"/>
    <col min="14" max="14" width="6.7109375" style="83" customWidth="1"/>
    <col min="15" max="15" width="6.7109375" style="1" customWidth="1"/>
    <col min="16" max="21" width="7.7109375" customWidth="1"/>
  </cols>
  <sheetData>
    <row r="1" spans="1:15" ht="15" customHeight="1" x14ac:dyDescent="0.25">
      <c r="A1" s="328" t="s">
        <v>172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30"/>
    </row>
    <row r="2" spans="1:15" x14ac:dyDescent="0.25">
      <c r="A2" s="331"/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3"/>
    </row>
    <row r="3" spans="1:15" ht="6" customHeight="1" x14ac:dyDescent="0.25">
      <c r="A3" s="75"/>
      <c r="B3" s="63"/>
      <c r="C3" s="63"/>
      <c r="D3" s="63"/>
      <c r="J3" s="48"/>
      <c r="K3" s="48"/>
      <c r="L3" s="29"/>
      <c r="O3" s="173"/>
    </row>
    <row r="4" spans="1:15" x14ac:dyDescent="0.25">
      <c r="A4" s="209" t="s">
        <v>0</v>
      </c>
      <c r="B4" s="210"/>
      <c r="C4" s="210"/>
      <c r="D4" s="210"/>
      <c r="E4" s="210"/>
      <c r="F4" s="210"/>
      <c r="G4" s="210"/>
      <c r="H4" s="210"/>
      <c r="I4" s="210"/>
      <c r="J4" s="48"/>
      <c r="K4" s="210" t="s">
        <v>1</v>
      </c>
      <c r="L4" s="210"/>
      <c r="M4" s="210"/>
      <c r="N4" s="210"/>
      <c r="O4" s="174"/>
    </row>
    <row r="5" spans="1:15" ht="6" customHeight="1" x14ac:dyDescent="0.25">
      <c r="A5" s="75"/>
      <c r="B5" s="63"/>
      <c r="C5" s="63"/>
      <c r="D5" s="63"/>
      <c r="J5" s="48"/>
      <c r="K5" s="48"/>
      <c r="L5" s="29"/>
      <c r="O5" s="173"/>
    </row>
    <row r="6" spans="1:15" ht="15" customHeight="1" x14ac:dyDescent="0.25">
      <c r="A6" s="213" t="s">
        <v>16</v>
      </c>
      <c r="B6" s="230"/>
      <c r="C6" s="230"/>
      <c r="D6" s="214"/>
      <c r="E6" s="211" t="s">
        <v>2</v>
      </c>
      <c r="F6" s="211"/>
      <c r="G6" s="211"/>
      <c r="H6" s="212"/>
      <c r="I6" s="212"/>
      <c r="J6" s="90" t="s">
        <v>3</v>
      </c>
      <c r="K6" s="91"/>
      <c r="L6" s="218" t="s">
        <v>351</v>
      </c>
      <c r="M6" s="219"/>
      <c r="N6" s="220"/>
      <c r="O6" s="175"/>
    </row>
    <row r="7" spans="1:15" x14ac:dyDescent="0.25">
      <c r="A7" s="231"/>
      <c r="B7" s="232"/>
      <c r="C7" s="232"/>
      <c r="D7" s="233"/>
      <c r="E7" s="90" t="s">
        <v>4</v>
      </c>
      <c r="F7" s="91"/>
      <c r="G7" s="91"/>
      <c r="H7" s="259"/>
      <c r="I7" s="259"/>
      <c r="J7" s="259"/>
      <c r="K7" s="259"/>
      <c r="L7" s="218" t="s">
        <v>349</v>
      </c>
      <c r="M7" s="219"/>
      <c r="N7" s="220"/>
      <c r="O7" s="175"/>
    </row>
    <row r="8" spans="1:15" ht="20.100000000000001" customHeight="1" x14ac:dyDescent="0.25">
      <c r="A8" s="215"/>
      <c r="B8" s="234"/>
      <c r="C8" s="234"/>
      <c r="D8" s="216"/>
      <c r="E8" s="264" t="s">
        <v>5</v>
      </c>
      <c r="F8" s="265"/>
      <c r="G8" s="265"/>
      <c r="H8" s="265"/>
      <c r="I8" s="265"/>
      <c r="J8" s="265"/>
      <c r="K8" s="265"/>
      <c r="L8" s="260" t="s">
        <v>350</v>
      </c>
      <c r="M8" s="261"/>
      <c r="N8" s="262"/>
      <c r="O8" s="176"/>
    </row>
    <row r="9" spans="1:15" ht="20.100000000000001" customHeight="1" x14ac:dyDescent="0.25">
      <c r="A9" s="213" t="s">
        <v>36</v>
      </c>
      <c r="B9" s="214"/>
      <c r="C9" s="213" t="s">
        <v>37</v>
      </c>
      <c r="D9" s="214"/>
      <c r="E9" s="235" t="s">
        <v>17</v>
      </c>
      <c r="F9" s="238" t="s">
        <v>6</v>
      </c>
      <c r="G9" s="244" t="s">
        <v>7</v>
      </c>
      <c r="H9" s="247" t="s">
        <v>8</v>
      </c>
      <c r="I9" s="248"/>
      <c r="J9" s="248"/>
      <c r="K9" s="249"/>
      <c r="L9" s="256" t="s">
        <v>9</v>
      </c>
      <c r="M9" s="238" t="s">
        <v>78</v>
      </c>
      <c r="N9" s="250" t="s">
        <v>171</v>
      </c>
      <c r="O9" s="263"/>
    </row>
    <row r="10" spans="1:15" ht="20.25" customHeight="1" x14ac:dyDescent="0.25">
      <c r="A10" s="215"/>
      <c r="B10" s="216"/>
      <c r="C10" s="215"/>
      <c r="D10" s="216"/>
      <c r="E10" s="236"/>
      <c r="F10" s="239"/>
      <c r="G10" s="245"/>
      <c r="H10" s="250"/>
      <c r="I10" s="251"/>
      <c r="J10" s="251"/>
      <c r="K10" s="252"/>
      <c r="L10" s="257"/>
      <c r="M10" s="239"/>
      <c r="N10" s="250"/>
      <c r="O10" s="263"/>
    </row>
    <row r="11" spans="1:15" ht="30" customHeight="1" x14ac:dyDescent="0.25">
      <c r="A11" s="223" t="s">
        <v>38</v>
      </c>
      <c r="B11" s="223" t="s">
        <v>39</v>
      </c>
      <c r="C11" s="223" t="s">
        <v>38</v>
      </c>
      <c r="D11" s="223" t="s">
        <v>39</v>
      </c>
      <c r="E11" s="236"/>
      <c r="F11" s="239"/>
      <c r="G11" s="245"/>
      <c r="H11" s="250"/>
      <c r="I11" s="251"/>
      <c r="J11" s="251"/>
      <c r="K11" s="252"/>
      <c r="L11" s="257"/>
      <c r="M11" s="239"/>
      <c r="N11" s="250"/>
      <c r="O11" s="263"/>
    </row>
    <row r="12" spans="1:15" ht="24" customHeight="1" x14ac:dyDescent="0.25">
      <c r="A12" s="224"/>
      <c r="B12" s="224"/>
      <c r="C12" s="224"/>
      <c r="D12" s="224"/>
      <c r="E12" s="237"/>
      <c r="F12" s="240"/>
      <c r="G12" s="246"/>
      <c r="H12" s="253"/>
      <c r="I12" s="254"/>
      <c r="J12" s="254"/>
      <c r="K12" s="255"/>
      <c r="L12" s="258"/>
      <c r="M12" s="340"/>
      <c r="N12" s="250"/>
      <c r="O12" s="263"/>
    </row>
    <row r="13" spans="1:15" ht="18.75" customHeight="1" x14ac:dyDescent="0.25">
      <c r="A13" s="9">
        <v>1</v>
      </c>
      <c r="B13" s="9">
        <v>1</v>
      </c>
      <c r="C13" s="9">
        <v>1</v>
      </c>
      <c r="D13" s="9">
        <v>1</v>
      </c>
      <c r="E13" s="296" t="s">
        <v>72</v>
      </c>
      <c r="F13" s="7">
        <v>1</v>
      </c>
      <c r="G13" s="64" t="s">
        <v>18</v>
      </c>
      <c r="H13" s="267" t="s">
        <v>33</v>
      </c>
      <c r="I13" s="268"/>
      <c r="J13" s="268"/>
      <c r="K13" s="269"/>
      <c r="L13" s="36"/>
      <c r="M13" s="30" t="s">
        <v>174</v>
      </c>
      <c r="N13" s="116"/>
      <c r="O13" s="116"/>
    </row>
    <row r="14" spans="1:15" ht="18.75" customHeight="1" x14ac:dyDescent="0.25">
      <c r="A14" s="26">
        <v>2</v>
      </c>
      <c r="B14" s="26">
        <v>2</v>
      </c>
      <c r="C14" s="26">
        <v>2</v>
      </c>
      <c r="D14" s="26">
        <v>2</v>
      </c>
      <c r="E14" s="296"/>
      <c r="F14" s="6">
        <v>2</v>
      </c>
      <c r="G14" s="64" t="s">
        <v>19</v>
      </c>
      <c r="H14" s="267" t="s">
        <v>34</v>
      </c>
      <c r="I14" s="268"/>
      <c r="J14" s="268"/>
      <c r="K14" s="269"/>
      <c r="L14" s="36"/>
      <c r="M14" s="30" t="s">
        <v>174</v>
      </c>
      <c r="N14" s="116"/>
      <c r="O14" s="116"/>
    </row>
    <row r="15" spans="1:15" ht="18.75" customHeight="1" x14ac:dyDescent="0.25">
      <c r="A15" s="9">
        <v>3</v>
      </c>
      <c r="B15" s="9">
        <v>3</v>
      </c>
      <c r="C15" s="9">
        <v>3</v>
      </c>
      <c r="D15" s="9">
        <v>3</v>
      </c>
      <c r="E15" s="296"/>
      <c r="F15" s="7">
        <v>3</v>
      </c>
      <c r="G15" s="64" t="s">
        <v>87</v>
      </c>
      <c r="H15" s="267" t="s">
        <v>35</v>
      </c>
      <c r="I15" s="268"/>
      <c r="J15" s="268"/>
      <c r="K15" s="269"/>
      <c r="L15" s="36"/>
      <c r="M15" s="30" t="s">
        <v>141</v>
      </c>
      <c r="N15" s="167">
        <f>N13*N14/144</f>
        <v>0</v>
      </c>
      <c r="O15" s="118">
        <f>O13*O14/144</f>
        <v>0</v>
      </c>
    </row>
    <row r="16" spans="1:15" ht="18.75" customHeight="1" x14ac:dyDescent="0.25">
      <c r="A16" s="10">
        <v>4</v>
      </c>
      <c r="B16" s="10">
        <v>4</v>
      </c>
      <c r="C16" s="10">
        <v>4</v>
      </c>
      <c r="D16" s="10">
        <v>4</v>
      </c>
      <c r="E16" s="296"/>
      <c r="F16" s="11">
        <v>4</v>
      </c>
      <c r="G16" s="64" t="s">
        <v>20</v>
      </c>
      <c r="H16" s="266" t="s">
        <v>21</v>
      </c>
      <c r="I16" s="266"/>
      <c r="J16" s="266"/>
      <c r="K16" s="266"/>
      <c r="L16" s="36"/>
      <c r="M16" s="17" t="s">
        <v>71</v>
      </c>
      <c r="N16" s="116"/>
      <c r="O16" s="116"/>
    </row>
    <row r="17" spans="1:15" ht="18.75" customHeight="1" x14ac:dyDescent="0.25">
      <c r="A17" s="9">
        <v>5</v>
      </c>
      <c r="B17" s="9">
        <v>5</v>
      </c>
      <c r="C17" s="9">
        <v>5</v>
      </c>
      <c r="D17" s="9">
        <v>5</v>
      </c>
      <c r="E17" s="296"/>
      <c r="F17" s="7">
        <v>5</v>
      </c>
      <c r="G17" s="64" t="s">
        <v>88</v>
      </c>
      <c r="H17" s="229" t="s">
        <v>343</v>
      </c>
      <c r="I17" s="229"/>
      <c r="J17" s="229"/>
      <c r="K17" s="229"/>
      <c r="L17" s="36"/>
      <c r="M17" s="17" t="s">
        <v>71</v>
      </c>
      <c r="N17" s="179"/>
      <c r="O17" s="179"/>
    </row>
    <row r="18" spans="1:15" ht="18.75" customHeight="1" x14ac:dyDescent="0.25">
      <c r="A18" s="26">
        <v>6</v>
      </c>
      <c r="B18" s="26">
        <v>6</v>
      </c>
      <c r="C18" s="26">
        <v>6</v>
      </c>
      <c r="D18" s="26">
        <v>6</v>
      </c>
      <c r="E18" s="296"/>
      <c r="F18" s="6">
        <v>6</v>
      </c>
      <c r="G18" s="64" t="s">
        <v>340</v>
      </c>
      <c r="H18" s="229" t="s">
        <v>341</v>
      </c>
      <c r="I18" s="229"/>
      <c r="J18" s="229"/>
      <c r="K18" s="267"/>
      <c r="L18" s="36"/>
      <c r="M18" s="17" t="s">
        <v>71</v>
      </c>
      <c r="N18" s="116"/>
      <c r="O18" s="116"/>
    </row>
    <row r="19" spans="1:15" ht="18.75" customHeight="1" x14ac:dyDescent="0.25">
      <c r="A19" s="9">
        <v>7</v>
      </c>
      <c r="B19" s="9">
        <v>7</v>
      </c>
      <c r="C19" s="9">
        <v>7</v>
      </c>
      <c r="D19" s="9">
        <v>7</v>
      </c>
      <c r="E19" s="296"/>
      <c r="F19" s="7">
        <v>7</v>
      </c>
      <c r="G19" s="64" t="s">
        <v>89</v>
      </c>
      <c r="H19" s="229" t="s">
        <v>10</v>
      </c>
      <c r="I19" s="229"/>
      <c r="J19" s="229"/>
      <c r="K19" s="229"/>
      <c r="L19" s="36"/>
      <c r="M19" s="17" t="s">
        <v>71</v>
      </c>
      <c r="N19" s="116"/>
      <c r="O19" s="116"/>
    </row>
    <row r="20" spans="1:15" ht="28.5" customHeight="1" x14ac:dyDescent="0.25">
      <c r="A20" s="10">
        <v>8</v>
      </c>
      <c r="B20" s="10">
        <v>8</v>
      </c>
      <c r="C20" s="10">
        <v>8</v>
      </c>
      <c r="D20" s="10">
        <v>8</v>
      </c>
      <c r="E20" s="296"/>
      <c r="F20" s="11">
        <v>8</v>
      </c>
      <c r="G20" s="65"/>
      <c r="H20" s="200" t="s">
        <v>191</v>
      </c>
      <c r="I20" s="201"/>
      <c r="J20" s="201"/>
      <c r="K20" s="202"/>
      <c r="L20" s="37"/>
      <c r="M20" s="44" t="s">
        <v>173</v>
      </c>
      <c r="N20" s="116"/>
      <c r="O20" s="116"/>
    </row>
    <row r="21" spans="1:15" ht="18.75" customHeight="1" x14ac:dyDescent="0.25">
      <c r="A21" s="9">
        <v>9</v>
      </c>
      <c r="B21" s="9">
        <v>9</v>
      </c>
      <c r="C21" s="9">
        <v>9</v>
      </c>
      <c r="D21" s="9">
        <v>9</v>
      </c>
      <c r="E21" s="296"/>
      <c r="F21" s="7">
        <v>9</v>
      </c>
      <c r="G21" s="64" t="s">
        <v>90</v>
      </c>
      <c r="H21" s="229" t="s">
        <v>23</v>
      </c>
      <c r="I21" s="229"/>
      <c r="J21" s="229"/>
      <c r="K21" s="229"/>
      <c r="L21" s="36"/>
      <c r="M21" s="30" t="s">
        <v>174</v>
      </c>
      <c r="N21" s="117"/>
      <c r="O21" s="117"/>
    </row>
    <row r="22" spans="1:15" ht="18.75" customHeight="1" x14ac:dyDescent="0.25">
      <c r="A22" s="9">
        <v>10</v>
      </c>
      <c r="B22" s="9">
        <v>10</v>
      </c>
      <c r="C22" s="9">
        <v>10</v>
      </c>
      <c r="D22" s="9">
        <v>10</v>
      </c>
      <c r="E22" s="296"/>
      <c r="F22" s="6">
        <v>10</v>
      </c>
      <c r="G22" s="64" t="s">
        <v>91</v>
      </c>
      <c r="H22" s="229" t="s">
        <v>24</v>
      </c>
      <c r="I22" s="229"/>
      <c r="J22" s="229"/>
      <c r="K22" s="267"/>
      <c r="L22" s="36"/>
      <c r="M22" s="30" t="s">
        <v>174</v>
      </c>
      <c r="N22" s="117"/>
      <c r="O22" s="117"/>
    </row>
    <row r="23" spans="1:15" ht="18.75" customHeight="1" x14ac:dyDescent="0.25">
      <c r="A23" s="9" t="s">
        <v>192</v>
      </c>
      <c r="B23" s="9" t="s">
        <v>192</v>
      </c>
      <c r="C23" s="9"/>
      <c r="D23" s="9"/>
      <c r="E23" s="296"/>
      <c r="F23" s="21">
        <v>11</v>
      </c>
      <c r="G23" s="64" t="s">
        <v>193</v>
      </c>
      <c r="H23" s="80" t="s">
        <v>194</v>
      </c>
      <c r="I23" s="81"/>
      <c r="J23" s="81"/>
      <c r="K23" s="82"/>
      <c r="L23" s="36"/>
      <c r="M23" s="17" t="s">
        <v>71</v>
      </c>
      <c r="N23" s="117"/>
      <c r="O23" s="117"/>
    </row>
    <row r="24" spans="1:15" ht="18.75" customHeight="1" x14ac:dyDescent="0.25">
      <c r="A24" s="12">
        <v>11</v>
      </c>
      <c r="B24" s="12">
        <v>11</v>
      </c>
      <c r="C24" s="12">
        <v>11</v>
      </c>
      <c r="D24" s="12">
        <v>11</v>
      </c>
      <c r="E24" s="296"/>
      <c r="F24" s="7">
        <v>12</v>
      </c>
      <c r="G24" s="64" t="s">
        <v>92</v>
      </c>
      <c r="H24" s="229" t="s">
        <v>11</v>
      </c>
      <c r="I24" s="229"/>
      <c r="J24" s="229"/>
      <c r="K24" s="267"/>
      <c r="L24" s="36"/>
      <c r="M24" s="30" t="s">
        <v>174</v>
      </c>
      <c r="N24" s="117"/>
      <c r="O24" s="117"/>
    </row>
    <row r="25" spans="1:15" ht="18.75" customHeight="1" x14ac:dyDescent="0.25">
      <c r="A25" s="9">
        <v>12</v>
      </c>
      <c r="B25" s="9">
        <v>12</v>
      </c>
      <c r="C25" s="9">
        <v>12</v>
      </c>
      <c r="D25" s="9">
        <v>12</v>
      </c>
      <c r="E25" s="296" t="s">
        <v>73</v>
      </c>
      <c r="F25" s="11">
        <v>13</v>
      </c>
      <c r="G25" s="64" t="s">
        <v>93</v>
      </c>
      <c r="H25" s="267" t="s">
        <v>22</v>
      </c>
      <c r="I25" s="268"/>
      <c r="J25" s="268"/>
      <c r="K25" s="269"/>
      <c r="L25" s="36" t="s">
        <v>190</v>
      </c>
      <c r="M25" s="30" t="s">
        <v>141</v>
      </c>
      <c r="N25" s="118">
        <f>N20*N15*N17</f>
        <v>0</v>
      </c>
      <c r="O25" s="118">
        <f>O20*O15*O17</f>
        <v>0</v>
      </c>
    </row>
    <row r="26" spans="1:15" x14ac:dyDescent="0.25">
      <c r="A26" s="10">
        <v>13</v>
      </c>
      <c r="B26" s="10">
        <v>13</v>
      </c>
      <c r="C26" s="10">
        <v>13</v>
      </c>
      <c r="D26" s="10">
        <v>13</v>
      </c>
      <c r="E26" s="296"/>
      <c r="F26" s="7">
        <v>14</v>
      </c>
      <c r="G26" s="66" t="s">
        <v>94</v>
      </c>
      <c r="H26" s="225" t="s">
        <v>158</v>
      </c>
      <c r="I26" s="225"/>
      <c r="J26" s="225"/>
      <c r="K26" s="225"/>
      <c r="L26" s="84" t="s">
        <v>196</v>
      </c>
      <c r="M26" s="76" t="s">
        <v>197</v>
      </c>
      <c r="N26" s="119">
        <f t="shared" ref="N26:O26" si="0">(PI()/4)*((N21/12)^2)*N19</f>
        <v>0</v>
      </c>
      <c r="O26" s="119">
        <f t="shared" si="0"/>
        <v>0</v>
      </c>
    </row>
    <row r="27" spans="1:15" x14ac:dyDescent="0.25">
      <c r="A27" s="9">
        <v>14</v>
      </c>
      <c r="B27" s="9">
        <v>14</v>
      </c>
      <c r="C27" s="9">
        <v>14</v>
      </c>
      <c r="D27" s="9">
        <v>14</v>
      </c>
      <c r="E27" s="296"/>
      <c r="F27" s="7">
        <v>15</v>
      </c>
      <c r="G27" s="64" t="s">
        <v>95</v>
      </c>
      <c r="H27" s="225" t="s">
        <v>12</v>
      </c>
      <c r="I27" s="225"/>
      <c r="J27" s="225"/>
      <c r="K27" s="225"/>
      <c r="L27" s="16" t="s">
        <v>342</v>
      </c>
      <c r="M27" s="30" t="s">
        <v>175</v>
      </c>
      <c r="N27" s="31">
        <f>IF(N19=0,0,(IF(N$7="Solve for Rows",0,(1/12*(N17*(N22 + N24)*(N18/N19) - N24)))))</f>
        <v>0</v>
      </c>
      <c r="O27" s="31">
        <f>IF(O19=0,0,(IF(O$7="Solve for Rows",0,(1/12*(O17*(O22 + O24)*(O18/O19) - O24)))))</f>
        <v>0</v>
      </c>
    </row>
    <row r="28" spans="1:15" x14ac:dyDescent="0.25">
      <c r="A28" s="9">
        <v>15</v>
      </c>
      <c r="B28" s="9">
        <v>15</v>
      </c>
      <c r="C28" s="9">
        <v>15</v>
      </c>
      <c r="D28" s="9">
        <v>15</v>
      </c>
      <c r="E28" s="296"/>
      <c r="F28" s="7">
        <v>16</v>
      </c>
      <c r="G28" s="73" t="s">
        <v>195</v>
      </c>
      <c r="H28" s="226" t="s">
        <v>25</v>
      </c>
      <c r="I28" s="227"/>
      <c r="J28" s="227"/>
      <c r="K28" s="228"/>
      <c r="L28" s="19"/>
      <c r="M28" s="31" t="s">
        <v>26</v>
      </c>
      <c r="N28" s="120"/>
      <c r="O28" s="120"/>
    </row>
    <row r="29" spans="1:15" x14ac:dyDescent="0.25">
      <c r="A29" s="9">
        <v>16</v>
      </c>
      <c r="B29" s="9">
        <v>16</v>
      </c>
      <c r="C29" s="9">
        <v>16</v>
      </c>
      <c r="D29" s="9">
        <v>16</v>
      </c>
      <c r="E29" s="296"/>
      <c r="F29" s="7">
        <v>17</v>
      </c>
      <c r="G29" s="67" t="s">
        <v>96</v>
      </c>
      <c r="H29" s="225" t="s">
        <v>27</v>
      </c>
      <c r="I29" s="225"/>
      <c r="J29" s="225"/>
      <c r="K29" s="225"/>
      <c r="L29" s="85" t="s">
        <v>214</v>
      </c>
      <c r="M29" s="30" t="s">
        <v>216</v>
      </c>
      <c r="N29" s="31">
        <f>IF(N15=0,0,N28/N15)</f>
        <v>0</v>
      </c>
      <c r="O29" s="31">
        <f>IF(O15=0,0,O28/O15)</f>
        <v>0</v>
      </c>
    </row>
    <row r="30" spans="1:15" x14ac:dyDescent="0.25">
      <c r="A30" s="9">
        <v>17</v>
      </c>
      <c r="B30" s="9">
        <v>17</v>
      </c>
      <c r="C30" s="9">
        <v>17</v>
      </c>
      <c r="D30" s="9">
        <v>17</v>
      </c>
      <c r="E30" s="296"/>
      <c r="F30" s="6">
        <v>18</v>
      </c>
      <c r="G30" s="73" t="s">
        <v>198</v>
      </c>
      <c r="H30" s="229" t="s">
        <v>28</v>
      </c>
      <c r="I30" s="229"/>
      <c r="J30" s="229"/>
      <c r="K30" s="229"/>
      <c r="L30" s="36"/>
      <c r="M30" s="30" t="s">
        <v>142</v>
      </c>
      <c r="N30" s="120"/>
      <c r="O30" s="120"/>
    </row>
    <row r="31" spans="1:15" x14ac:dyDescent="0.25">
      <c r="A31" s="26">
        <v>18</v>
      </c>
      <c r="B31" s="26">
        <v>18</v>
      </c>
      <c r="C31" s="26">
        <v>18</v>
      </c>
      <c r="D31" s="26">
        <v>18</v>
      </c>
      <c r="E31" s="296"/>
      <c r="F31" s="7">
        <v>19</v>
      </c>
      <c r="G31" s="73" t="s">
        <v>199</v>
      </c>
      <c r="H31" s="229" t="s">
        <v>40</v>
      </c>
      <c r="I31" s="229"/>
      <c r="J31" s="229"/>
      <c r="K31" s="229"/>
      <c r="L31" s="36"/>
      <c r="M31" s="30" t="s">
        <v>142</v>
      </c>
      <c r="N31" s="120"/>
      <c r="O31" s="120"/>
    </row>
    <row r="32" spans="1:15" x14ac:dyDescent="0.25">
      <c r="A32" s="9">
        <v>19</v>
      </c>
      <c r="B32" s="9">
        <v>19</v>
      </c>
      <c r="C32" s="8" t="s">
        <v>71</v>
      </c>
      <c r="D32" s="8" t="s">
        <v>71</v>
      </c>
      <c r="E32" s="296"/>
      <c r="F32" s="6">
        <v>20</v>
      </c>
      <c r="G32" s="64" t="s">
        <v>97</v>
      </c>
      <c r="H32" s="229" t="s">
        <v>29</v>
      </c>
      <c r="I32" s="229"/>
      <c r="J32" s="229"/>
      <c r="K32" s="229"/>
      <c r="L32" s="36"/>
      <c r="M32" s="30" t="s">
        <v>176</v>
      </c>
      <c r="N32" s="125"/>
      <c r="O32" s="125"/>
    </row>
    <row r="33" spans="1:15" x14ac:dyDescent="0.25">
      <c r="A33" s="9">
        <v>20</v>
      </c>
      <c r="B33" s="9">
        <v>20</v>
      </c>
      <c r="C33" s="8" t="s">
        <v>71</v>
      </c>
      <c r="D33" s="8" t="s">
        <v>71</v>
      </c>
      <c r="E33" s="296"/>
      <c r="F33" s="7">
        <v>21</v>
      </c>
      <c r="G33" s="64" t="s">
        <v>98</v>
      </c>
      <c r="H33" s="229" t="s">
        <v>13</v>
      </c>
      <c r="I33" s="229"/>
      <c r="J33" s="229"/>
      <c r="K33" s="229"/>
      <c r="L33" s="36"/>
      <c r="M33" s="30" t="s">
        <v>142</v>
      </c>
      <c r="N33" s="117"/>
      <c r="O33" s="117"/>
    </row>
    <row r="34" spans="1:15" ht="50.1" customHeight="1" x14ac:dyDescent="0.25">
      <c r="A34" s="8" t="s">
        <v>71</v>
      </c>
      <c r="B34" s="8" t="s">
        <v>71</v>
      </c>
      <c r="C34" s="9">
        <v>19</v>
      </c>
      <c r="D34" s="9">
        <v>19</v>
      </c>
      <c r="E34" s="296"/>
      <c r="F34" s="6">
        <v>22</v>
      </c>
      <c r="G34" s="73" t="s">
        <v>200</v>
      </c>
      <c r="H34" s="194" t="s">
        <v>230</v>
      </c>
      <c r="I34" s="196"/>
      <c r="J34" s="196"/>
      <c r="K34" s="195"/>
      <c r="L34" s="36"/>
      <c r="M34" s="30" t="s">
        <v>142</v>
      </c>
      <c r="N34" s="120"/>
      <c r="O34" s="120"/>
    </row>
    <row r="35" spans="1:15" ht="45" customHeight="1" x14ac:dyDescent="0.25">
      <c r="A35" s="8" t="s">
        <v>71</v>
      </c>
      <c r="B35" s="8" t="s">
        <v>71</v>
      </c>
      <c r="C35" s="9">
        <v>20</v>
      </c>
      <c r="D35" s="9">
        <v>20</v>
      </c>
      <c r="E35" s="296"/>
      <c r="F35" s="6">
        <v>23</v>
      </c>
      <c r="G35" s="73" t="s">
        <v>201</v>
      </c>
      <c r="H35" s="193" t="s">
        <v>250</v>
      </c>
      <c r="I35" s="188"/>
      <c r="J35" s="188"/>
      <c r="K35" s="189"/>
      <c r="L35" s="36"/>
      <c r="M35" s="30" t="s">
        <v>142</v>
      </c>
      <c r="N35" s="120"/>
      <c r="O35" s="120"/>
    </row>
    <row r="36" spans="1:15" x14ac:dyDescent="0.25">
      <c r="A36" s="9">
        <v>21</v>
      </c>
      <c r="B36" s="9">
        <v>21</v>
      </c>
      <c r="C36" s="9">
        <v>21</v>
      </c>
      <c r="D36" s="9">
        <v>21</v>
      </c>
      <c r="E36" s="296"/>
      <c r="F36" s="7">
        <v>24</v>
      </c>
      <c r="G36" s="64" t="s">
        <v>99</v>
      </c>
      <c r="H36" s="229" t="s">
        <v>30</v>
      </c>
      <c r="I36" s="229"/>
      <c r="J36" s="229"/>
      <c r="K36" s="229"/>
      <c r="L36" s="36"/>
      <c r="M36" s="3" t="s">
        <v>177</v>
      </c>
      <c r="N36" s="120"/>
      <c r="O36" s="120"/>
    </row>
    <row r="37" spans="1:15" ht="20.100000000000001" customHeight="1" x14ac:dyDescent="0.25">
      <c r="A37" s="8" t="s">
        <v>71</v>
      </c>
      <c r="B37" s="8" t="s">
        <v>71</v>
      </c>
      <c r="C37" s="9">
        <v>22</v>
      </c>
      <c r="D37" s="9">
        <v>22</v>
      </c>
      <c r="E37" s="296"/>
      <c r="F37" s="6">
        <v>25</v>
      </c>
      <c r="G37" s="73" t="s">
        <v>202</v>
      </c>
      <c r="H37" s="194" t="s">
        <v>203</v>
      </c>
      <c r="I37" s="196"/>
      <c r="J37" s="196"/>
      <c r="K37" s="195"/>
      <c r="L37" s="39"/>
      <c r="M37" s="30" t="s">
        <v>142</v>
      </c>
      <c r="N37" s="120"/>
      <c r="O37" s="120"/>
    </row>
    <row r="38" spans="1:15" ht="33" customHeight="1" x14ac:dyDescent="0.25">
      <c r="A38" s="8" t="s">
        <v>71</v>
      </c>
      <c r="B38" s="8" t="s">
        <v>71</v>
      </c>
      <c r="C38" s="9">
        <v>23</v>
      </c>
      <c r="D38" s="9">
        <v>23</v>
      </c>
      <c r="E38" s="296"/>
      <c r="F38" s="6">
        <v>26</v>
      </c>
      <c r="G38" s="73" t="s">
        <v>204</v>
      </c>
      <c r="H38" s="193" t="s">
        <v>159</v>
      </c>
      <c r="I38" s="188"/>
      <c r="J38" s="188"/>
      <c r="K38" s="189"/>
      <c r="L38" s="39"/>
      <c r="M38" s="31" t="s">
        <v>32</v>
      </c>
      <c r="N38" s="125"/>
      <c r="O38" s="125"/>
    </row>
    <row r="39" spans="1:15" ht="18.75" customHeight="1" x14ac:dyDescent="0.25">
      <c r="A39" s="9">
        <v>22</v>
      </c>
      <c r="B39" s="9">
        <v>22</v>
      </c>
      <c r="C39" s="9">
        <v>24</v>
      </c>
      <c r="D39" s="9">
        <v>24</v>
      </c>
      <c r="E39" s="296"/>
      <c r="F39" s="6">
        <v>27</v>
      </c>
      <c r="G39" s="64" t="s">
        <v>100</v>
      </c>
      <c r="H39" s="229" t="s">
        <v>231</v>
      </c>
      <c r="I39" s="229"/>
      <c r="J39" s="229"/>
      <c r="K39" s="229"/>
      <c r="L39" s="36"/>
      <c r="M39" s="30" t="s">
        <v>32</v>
      </c>
      <c r="N39" s="117"/>
      <c r="O39" s="117"/>
    </row>
    <row r="40" spans="1:15" ht="18.75" customHeight="1" x14ac:dyDescent="0.25">
      <c r="A40" s="10">
        <v>23</v>
      </c>
      <c r="B40" s="10">
        <v>23</v>
      </c>
      <c r="C40" s="10">
        <v>25</v>
      </c>
      <c r="D40" s="10">
        <v>25</v>
      </c>
      <c r="E40" s="296"/>
      <c r="F40" s="11">
        <v>28</v>
      </c>
      <c r="G40" s="67" t="s">
        <v>101</v>
      </c>
      <c r="H40" s="226" t="s">
        <v>42</v>
      </c>
      <c r="I40" s="227"/>
      <c r="J40" s="227"/>
      <c r="K40" s="228"/>
      <c r="L40" s="86" t="s">
        <v>205</v>
      </c>
      <c r="M40" s="30" t="s">
        <v>79</v>
      </c>
      <c r="N40" s="185">
        <f>4.5*N28</f>
        <v>0</v>
      </c>
      <c r="O40" s="185">
        <f>4.5*O28</f>
        <v>0</v>
      </c>
    </row>
    <row r="41" spans="1:15" ht="32.25" customHeight="1" x14ac:dyDescent="0.25">
      <c r="A41" s="10">
        <v>24</v>
      </c>
      <c r="B41" s="10">
        <v>24</v>
      </c>
      <c r="C41" s="10">
        <v>26</v>
      </c>
      <c r="D41" s="10">
        <v>26</v>
      </c>
      <c r="E41" s="296"/>
      <c r="F41" s="11">
        <v>29</v>
      </c>
      <c r="G41" s="67"/>
      <c r="H41" s="292" t="s">
        <v>314</v>
      </c>
      <c r="I41" s="293"/>
      <c r="J41" s="293"/>
      <c r="K41" s="294"/>
      <c r="L41" s="40"/>
      <c r="M41" s="182"/>
      <c r="N41" s="186"/>
      <c r="O41" s="186"/>
    </row>
    <row r="42" spans="1:15" ht="32.25" customHeight="1" x14ac:dyDescent="0.25">
      <c r="A42" s="12"/>
      <c r="B42" s="12"/>
      <c r="C42" s="12"/>
      <c r="D42" s="12"/>
      <c r="E42" s="296"/>
      <c r="F42" s="21"/>
      <c r="G42" s="65"/>
      <c r="H42" s="315" t="s">
        <v>315</v>
      </c>
      <c r="I42" s="316"/>
      <c r="J42" s="316"/>
      <c r="K42" s="317"/>
      <c r="L42" s="37"/>
      <c r="M42" s="183" t="s">
        <v>71</v>
      </c>
      <c r="N42" s="186"/>
      <c r="O42" s="186"/>
    </row>
    <row r="43" spans="1:15" ht="32.25" customHeight="1" x14ac:dyDescent="0.25">
      <c r="A43" s="26"/>
      <c r="B43" s="26"/>
      <c r="C43" s="26"/>
      <c r="D43" s="26"/>
      <c r="E43" s="296"/>
      <c r="F43" s="6"/>
      <c r="G43" s="68"/>
      <c r="H43" s="271" t="s">
        <v>313</v>
      </c>
      <c r="I43" s="272"/>
      <c r="J43" s="272"/>
      <c r="K43" s="273"/>
      <c r="L43" s="39"/>
      <c r="M43" s="184"/>
      <c r="N43" s="186"/>
      <c r="O43" s="186"/>
    </row>
    <row r="44" spans="1:15" ht="18.75" customHeight="1" x14ac:dyDescent="0.25">
      <c r="A44" s="9">
        <v>25</v>
      </c>
      <c r="B44" s="9">
        <v>25</v>
      </c>
      <c r="C44" s="9">
        <v>27</v>
      </c>
      <c r="D44" s="9">
        <v>27</v>
      </c>
      <c r="E44" s="296"/>
      <c r="F44" s="6">
        <v>30</v>
      </c>
      <c r="G44" s="73" t="s">
        <v>206</v>
      </c>
      <c r="H44" s="229" t="s">
        <v>43</v>
      </c>
      <c r="I44" s="229"/>
      <c r="J44" s="229"/>
      <c r="K44" s="229"/>
      <c r="L44" s="36"/>
      <c r="M44" s="30" t="s">
        <v>142</v>
      </c>
      <c r="N44" s="117"/>
      <c r="O44" s="117"/>
    </row>
    <row r="45" spans="1:15" ht="18.75" customHeight="1" x14ac:dyDescent="0.25">
      <c r="A45" s="9">
        <v>26</v>
      </c>
      <c r="B45" s="9">
        <v>26</v>
      </c>
      <c r="C45" s="9">
        <v>28</v>
      </c>
      <c r="D45" s="9">
        <v>28</v>
      </c>
      <c r="E45" s="296"/>
      <c r="F45" s="6">
        <v>31</v>
      </c>
      <c r="G45" s="64" t="s">
        <v>102</v>
      </c>
      <c r="H45" s="229" t="s">
        <v>160</v>
      </c>
      <c r="I45" s="229"/>
      <c r="J45" s="229"/>
      <c r="K45" s="229"/>
      <c r="L45" s="36"/>
      <c r="M45" s="30" t="s">
        <v>32</v>
      </c>
      <c r="N45" s="123">
        <f>IF(N46=0,0, N39-(N46/N40))</f>
        <v>0</v>
      </c>
      <c r="O45" s="122">
        <f>IF(O46=0,0, O39-(O46/O40))</f>
        <v>0</v>
      </c>
    </row>
    <row r="46" spans="1:15" ht="42" customHeight="1" x14ac:dyDescent="0.25">
      <c r="A46" s="9">
        <v>27</v>
      </c>
      <c r="B46" s="9">
        <v>27</v>
      </c>
      <c r="C46" s="9">
        <v>29</v>
      </c>
      <c r="D46" s="9">
        <v>29</v>
      </c>
      <c r="E46" s="296"/>
      <c r="F46" s="6">
        <v>32</v>
      </c>
      <c r="G46" s="64" t="s">
        <v>103</v>
      </c>
      <c r="H46" s="194" t="s">
        <v>207</v>
      </c>
      <c r="I46" s="196"/>
      <c r="J46" s="196"/>
      <c r="K46" s="195"/>
      <c r="L46" s="36" t="s">
        <v>146</v>
      </c>
      <c r="M46" s="76" t="s">
        <v>80</v>
      </c>
      <c r="N46" s="166"/>
      <c r="O46" s="166"/>
    </row>
    <row r="47" spans="1:15" ht="18.75" customHeight="1" x14ac:dyDescent="0.25">
      <c r="A47" s="10">
        <v>28</v>
      </c>
      <c r="B47" s="10">
        <v>28</v>
      </c>
      <c r="C47" s="27" t="s">
        <v>71</v>
      </c>
      <c r="D47" s="27" t="s">
        <v>71</v>
      </c>
      <c r="E47" s="296"/>
      <c r="F47" s="7">
        <v>33</v>
      </c>
      <c r="G47" s="64" t="s">
        <v>104</v>
      </c>
      <c r="H47" s="226" t="s">
        <v>15</v>
      </c>
      <c r="I47" s="227"/>
      <c r="J47" s="227"/>
      <c r="K47" s="228"/>
      <c r="L47" s="89" t="s">
        <v>215</v>
      </c>
      <c r="M47" s="77" t="s">
        <v>79</v>
      </c>
      <c r="N47" s="121">
        <f>IF($L$6="Cold Water",224500*(N26*N32),0)</f>
        <v>0</v>
      </c>
      <c r="O47" s="121">
        <f t="shared" ref="O47" si="1">IF($L$6="Cold Water",224500*(O26*O32),0)</f>
        <v>0</v>
      </c>
    </row>
    <row r="48" spans="1:15" ht="18.75" customHeight="1" x14ac:dyDescent="0.25">
      <c r="A48" s="9">
        <v>29</v>
      </c>
      <c r="B48" s="9">
        <v>29</v>
      </c>
      <c r="C48" s="8" t="s">
        <v>71</v>
      </c>
      <c r="D48" s="8" t="s">
        <v>71</v>
      </c>
      <c r="E48" s="296"/>
      <c r="F48" s="6">
        <v>34</v>
      </c>
      <c r="G48" s="68" t="s">
        <v>105</v>
      </c>
      <c r="H48" s="193" t="s">
        <v>14</v>
      </c>
      <c r="I48" s="188"/>
      <c r="J48" s="188"/>
      <c r="K48" s="189"/>
      <c r="L48" s="39" t="s">
        <v>147</v>
      </c>
      <c r="M48" s="30" t="s">
        <v>142</v>
      </c>
      <c r="N48" s="122">
        <f>IF(N47=0,0,(N33+(N46/N47)))</f>
        <v>0</v>
      </c>
      <c r="O48" s="122">
        <f>IF(O47=0,0,(O33+(O46/O47)))</f>
        <v>0</v>
      </c>
    </row>
    <row r="49" spans="1:15" ht="33" customHeight="1" x14ac:dyDescent="0.25">
      <c r="A49" s="8" t="s">
        <v>71</v>
      </c>
      <c r="B49" s="8" t="s">
        <v>71</v>
      </c>
      <c r="C49" s="9">
        <v>30</v>
      </c>
      <c r="D49" s="9">
        <v>30</v>
      </c>
      <c r="E49" s="296"/>
      <c r="F49" s="6">
        <v>35</v>
      </c>
      <c r="G49" s="68" t="s">
        <v>106</v>
      </c>
      <c r="H49" s="194" t="s">
        <v>217</v>
      </c>
      <c r="I49" s="196"/>
      <c r="J49" s="196"/>
      <c r="K49" s="195"/>
      <c r="L49" s="41"/>
      <c r="M49" s="18" t="s">
        <v>31</v>
      </c>
      <c r="N49" s="117"/>
      <c r="O49" s="117"/>
    </row>
    <row r="50" spans="1:15" ht="48" customHeight="1" x14ac:dyDescent="0.25">
      <c r="A50" s="8" t="s">
        <v>71</v>
      </c>
      <c r="B50" s="8" t="s">
        <v>71</v>
      </c>
      <c r="C50" s="9">
        <v>31</v>
      </c>
      <c r="D50" s="9">
        <v>31</v>
      </c>
      <c r="E50" s="296"/>
      <c r="F50" s="6">
        <v>36</v>
      </c>
      <c r="G50" s="68" t="s">
        <v>107</v>
      </c>
      <c r="H50" s="194" t="s">
        <v>218</v>
      </c>
      <c r="I50" s="196"/>
      <c r="J50" s="196"/>
      <c r="K50" s="195"/>
      <c r="L50" s="41"/>
      <c r="M50" s="18" t="s">
        <v>32</v>
      </c>
      <c r="N50" s="117"/>
      <c r="O50" s="117"/>
    </row>
    <row r="51" spans="1:15" ht="57" customHeight="1" x14ac:dyDescent="0.25">
      <c r="A51" s="8" t="s">
        <v>71</v>
      </c>
      <c r="B51" s="8" t="s">
        <v>71</v>
      </c>
      <c r="C51" s="9">
        <v>32</v>
      </c>
      <c r="D51" s="9">
        <v>32</v>
      </c>
      <c r="E51" s="296"/>
      <c r="F51" s="6">
        <v>37</v>
      </c>
      <c r="G51" s="92" t="s">
        <v>219</v>
      </c>
      <c r="H51" s="194" t="s">
        <v>241</v>
      </c>
      <c r="I51" s="196"/>
      <c r="J51" s="196"/>
      <c r="K51" s="195"/>
      <c r="L51" s="41"/>
      <c r="M51" s="18" t="s">
        <v>143</v>
      </c>
      <c r="N51" s="124"/>
      <c r="O51" s="124"/>
    </row>
    <row r="52" spans="1:15" ht="18.75" customHeight="1" x14ac:dyDescent="0.25">
      <c r="A52" s="8" t="s">
        <v>71</v>
      </c>
      <c r="B52" s="8" t="s">
        <v>71</v>
      </c>
      <c r="C52" s="9">
        <v>33</v>
      </c>
      <c r="D52" s="9">
        <v>33</v>
      </c>
      <c r="E52" s="296"/>
      <c r="F52" s="6">
        <v>38</v>
      </c>
      <c r="G52" s="64" t="s">
        <v>108</v>
      </c>
      <c r="H52" s="229" t="s">
        <v>41</v>
      </c>
      <c r="I52" s="229"/>
      <c r="J52" s="229"/>
      <c r="K52" s="229"/>
      <c r="L52" s="84" t="s">
        <v>232</v>
      </c>
      <c r="M52" s="76" t="s">
        <v>79</v>
      </c>
      <c r="N52" s="121">
        <f>IF((N50-N38)=0,0,N46/(N50-N38))</f>
        <v>0</v>
      </c>
      <c r="O52" s="121">
        <f>IF((O50-O38)=0,0,O46/(O50-O38))</f>
        <v>0</v>
      </c>
    </row>
    <row r="53" spans="1:15" ht="18.75" customHeight="1" x14ac:dyDescent="0.25">
      <c r="A53" s="8" t="s">
        <v>71</v>
      </c>
      <c r="B53" s="8" t="s">
        <v>71</v>
      </c>
      <c r="C53" s="9">
        <v>34</v>
      </c>
      <c r="D53" s="9">
        <v>34</v>
      </c>
      <c r="E53" s="296"/>
      <c r="F53" s="6">
        <v>39</v>
      </c>
      <c r="G53" s="64" t="s">
        <v>109</v>
      </c>
      <c r="H53" s="193" t="s">
        <v>44</v>
      </c>
      <c r="I53" s="188"/>
      <c r="J53" s="188"/>
      <c r="K53" s="189"/>
      <c r="L53" s="36" t="s">
        <v>148</v>
      </c>
      <c r="M53" s="77" t="s">
        <v>79</v>
      </c>
      <c r="N53" s="121">
        <f>IF(N19=0,0,N52/N19)</f>
        <v>0</v>
      </c>
      <c r="O53" s="121">
        <f>IF(O19=0,0,O52/O19)</f>
        <v>0</v>
      </c>
    </row>
    <row r="54" spans="1:15" ht="33" customHeight="1" x14ac:dyDescent="0.25">
      <c r="A54" s="8" t="s">
        <v>71</v>
      </c>
      <c r="B54" s="8" t="s">
        <v>71</v>
      </c>
      <c r="C54" s="9">
        <v>35</v>
      </c>
      <c r="D54" s="9">
        <v>35</v>
      </c>
      <c r="E54" s="296"/>
      <c r="F54" s="6">
        <v>40</v>
      </c>
      <c r="G54" s="68"/>
      <c r="H54" s="276" t="s">
        <v>363</v>
      </c>
      <c r="I54" s="277"/>
      <c r="J54" s="277"/>
      <c r="K54" s="278"/>
      <c r="L54" s="16"/>
      <c r="M54" s="3" t="s">
        <v>188</v>
      </c>
      <c r="N54" s="125"/>
      <c r="O54" s="125"/>
    </row>
    <row r="55" spans="1:15" ht="33" customHeight="1" x14ac:dyDescent="0.25">
      <c r="A55" s="8" t="s">
        <v>71</v>
      </c>
      <c r="B55" s="8" t="s">
        <v>71</v>
      </c>
      <c r="C55" s="9">
        <v>36</v>
      </c>
      <c r="D55" s="9">
        <v>36</v>
      </c>
      <c r="E55" s="296"/>
      <c r="F55" s="6">
        <v>41</v>
      </c>
      <c r="G55" s="68"/>
      <c r="H55" s="194" t="s">
        <v>299</v>
      </c>
      <c r="I55" s="196"/>
      <c r="J55" s="196"/>
      <c r="K55" s="195"/>
      <c r="L55" s="41"/>
      <c r="M55" s="3" t="s">
        <v>189</v>
      </c>
      <c r="N55" s="125"/>
      <c r="O55" s="125"/>
    </row>
    <row r="56" spans="1:15" ht="36" customHeight="1" x14ac:dyDescent="0.25">
      <c r="A56" s="8" t="s">
        <v>71</v>
      </c>
      <c r="B56" s="8" t="s">
        <v>71</v>
      </c>
      <c r="C56" s="9">
        <v>37</v>
      </c>
      <c r="D56" s="9">
        <v>37</v>
      </c>
      <c r="E56" s="296"/>
      <c r="F56" s="6">
        <v>42</v>
      </c>
      <c r="G56" s="64" t="s">
        <v>110</v>
      </c>
      <c r="H56" s="229" t="s">
        <v>45</v>
      </c>
      <c r="I56" s="229"/>
      <c r="J56" s="229"/>
      <c r="K56" s="229"/>
      <c r="L56" s="44" t="s">
        <v>220</v>
      </c>
      <c r="M56" s="30" t="s">
        <v>31</v>
      </c>
      <c r="N56" s="102">
        <f>N49+(N51)*((N27*N54)+N55)</f>
        <v>0</v>
      </c>
      <c r="O56" s="102">
        <f>O49+(O51)*((O27*O54)+O55)</f>
        <v>0</v>
      </c>
    </row>
    <row r="57" spans="1:15" ht="18.75" customHeight="1" x14ac:dyDescent="0.25">
      <c r="A57" s="8" t="s">
        <v>71</v>
      </c>
      <c r="B57" s="8" t="s">
        <v>71</v>
      </c>
      <c r="C57" s="9">
        <v>38</v>
      </c>
      <c r="D57" s="9">
        <v>38</v>
      </c>
      <c r="E57" s="296"/>
      <c r="F57" s="6">
        <v>43</v>
      </c>
      <c r="G57" s="64" t="s">
        <v>111</v>
      </c>
      <c r="H57" s="193" t="s">
        <v>46</v>
      </c>
      <c r="I57" s="188"/>
      <c r="J57" s="188"/>
      <c r="K57" s="189"/>
      <c r="L57" s="93" t="s">
        <v>149</v>
      </c>
      <c r="M57" s="30" t="s">
        <v>31</v>
      </c>
      <c r="N57" s="102">
        <f>N49+(N51*N55)</f>
        <v>0</v>
      </c>
      <c r="O57" s="102">
        <f>O49+(O51*O55)</f>
        <v>0</v>
      </c>
    </row>
    <row r="58" spans="1:15" ht="33" customHeight="1" x14ac:dyDescent="0.25">
      <c r="A58" s="8" t="s">
        <v>71</v>
      </c>
      <c r="B58" s="8" t="s">
        <v>71</v>
      </c>
      <c r="C58" s="9">
        <v>39</v>
      </c>
      <c r="D58" s="9">
        <v>39</v>
      </c>
      <c r="E58" s="296"/>
      <c r="F58" s="6">
        <v>44</v>
      </c>
      <c r="G58" s="92" t="s">
        <v>221</v>
      </c>
      <c r="H58" s="193" t="s">
        <v>161</v>
      </c>
      <c r="I58" s="188"/>
      <c r="J58" s="188"/>
      <c r="K58" s="189"/>
      <c r="L58" s="39"/>
      <c r="M58" s="30" t="s">
        <v>142</v>
      </c>
      <c r="N58" s="117"/>
      <c r="O58" s="117"/>
    </row>
    <row r="59" spans="1:15" ht="33" customHeight="1" x14ac:dyDescent="0.25">
      <c r="A59" s="8" t="s">
        <v>71</v>
      </c>
      <c r="B59" s="8" t="s">
        <v>71</v>
      </c>
      <c r="C59" s="9">
        <v>40</v>
      </c>
      <c r="D59" s="9">
        <v>40</v>
      </c>
      <c r="E59" s="296"/>
      <c r="F59" s="6">
        <v>45</v>
      </c>
      <c r="G59" s="73" t="s">
        <v>247</v>
      </c>
      <c r="H59" s="241" t="s">
        <v>222</v>
      </c>
      <c r="I59" s="270"/>
      <c r="J59" s="270"/>
      <c r="K59" s="242"/>
      <c r="L59" s="93"/>
      <c r="M59" s="30" t="s">
        <v>142</v>
      </c>
      <c r="N59" s="117"/>
      <c r="O59" s="117"/>
    </row>
    <row r="60" spans="1:15" ht="18.75" customHeight="1" x14ac:dyDescent="0.25">
      <c r="A60" s="8" t="s">
        <v>71</v>
      </c>
      <c r="B60" s="8" t="s">
        <v>71</v>
      </c>
      <c r="C60" s="9">
        <v>41</v>
      </c>
      <c r="D60" s="9">
        <v>41</v>
      </c>
      <c r="E60" s="296"/>
      <c r="F60" s="6">
        <v>46</v>
      </c>
      <c r="G60" s="69" t="s">
        <v>112</v>
      </c>
      <c r="H60" s="241" t="s">
        <v>47</v>
      </c>
      <c r="I60" s="270"/>
      <c r="J60" s="270"/>
      <c r="K60" s="242"/>
      <c r="L60" s="19" t="s">
        <v>150</v>
      </c>
      <c r="M60" s="77" t="s">
        <v>80</v>
      </c>
      <c r="N60" s="126">
        <f>IF(N19=0,0,IF($L$6="Cold Water",0,N46/N19))</f>
        <v>0</v>
      </c>
      <c r="O60" s="126">
        <f t="shared" ref="O60" si="2">IF(O19=0,0,IF($L$6="Cold Water",0,O46/O19))</f>
        <v>0</v>
      </c>
    </row>
    <row r="61" spans="1:15" ht="18.75" customHeight="1" x14ac:dyDescent="0.25">
      <c r="A61" s="9">
        <v>30</v>
      </c>
      <c r="B61" s="9">
        <v>30</v>
      </c>
      <c r="C61" s="8" t="s">
        <v>71</v>
      </c>
      <c r="D61" s="8" t="s">
        <v>71</v>
      </c>
      <c r="E61" s="296"/>
      <c r="F61" s="6">
        <v>47</v>
      </c>
      <c r="G61" s="64" t="s">
        <v>113</v>
      </c>
      <c r="H61" s="193" t="s">
        <v>48</v>
      </c>
      <c r="I61" s="188"/>
      <c r="J61" s="188"/>
      <c r="K61" s="189"/>
      <c r="L61" s="36" t="s">
        <v>151</v>
      </c>
      <c r="M61" s="30" t="s">
        <v>142</v>
      </c>
      <c r="N61" s="122">
        <f t="shared" ref="N61:O61" si="3">IF($L$6="Cold Water",(0.5*(N33+N48)),0)</f>
        <v>0</v>
      </c>
      <c r="O61" s="122">
        <f t="shared" si="3"/>
        <v>0</v>
      </c>
    </row>
    <row r="62" spans="1:15" ht="26.25" customHeight="1" x14ac:dyDescent="0.25">
      <c r="A62" s="9">
        <v>31</v>
      </c>
      <c r="B62" s="9">
        <v>31</v>
      </c>
      <c r="C62" s="8" t="s">
        <v>71</v>
      </c>
      <c r="D62" s="8" t="s">
        <v>71</v>
      </c>
      <c r="E62" s="296"/>
      <c r="F62" s="6">
        <v>48</v>
      </c>
      <c r="G62" s="70" t="s">
        <v>114</v>
      </c>
      <c r="H62" s="308" t="s">
        <v>162</v>
      </c>
      <c r="I62" s="279"/>
      <c r="J62" s="279"/>
      <c r="K62" s="280"/>
      <c r="L62" s="38"/>
      <c r="M62" s="30" t="s">
        <v>81</v>
      </c>
      <c r="N62" s="125"/>
      <c r="O62" s="125"/>
    </row>
    <row r="63" spans="1:15" ht="26.25" customHeight="1" x14ac:dyDescent="0.25">
      <c r="A63" s="9">
        <v>32</v>
      </c>
      <c r="B63" s="9">
        <v>32</v>
      </c>
      <c r="C63" s="8" t="s">
        <v>71</v>
      </c>
      <c r="D63" s="8" t="s">
        <v>71</v>
      </c>
      <c r="E63" s="296"/>
      <c r="F63" s="6">
        <v>49</v>
      </c>
      <c r="G63" s="71" t="s">
        <v>115</v>
      </c>
      <c r="H63" s="49" t="s">
        <v>163</v>
      </c>
      <c r="I63" s="50"/>
      <c r="J63" s="50"/>
      <c r="K63" s="51"/>
      <c r="L63" s="38"/>
      <c r="M63" s="30" t="s">
        <v>178</v>
      </c>
      <c r="N63" s="125"/>
      <c r="O63" s="125"/>
    </row>
    <row r="64" spans="1:15" ht="26.25" customHeight="1" x14ac:dyDescent="0.25">
      <c r="A64" s="9">
        <v>33</v>
      </c>
      <c r="B64" s="9">
        <v>33</v>
      </c>
      <c r="C64" s="8" t="s">
        <v>71</v>
      </c>
      <c r="D64" s="8" t="s">
        <v>71</v>
      </c>
      <c r="E64" s="296"/>
      <c r="F64" s="6">
        <v>50</v>
      </c>
      <c r="G64" s="71" t="s">
        <v>116</v>
      </c>
      <c r="H64" s="49" t="s">
        <v>164</v>
      </c>
      <c r="I64" s="50"/>
      <c r="J64" s="50"/>
      <c r="K64" s="51"/>
      <c r="L64" s="38"/>
      <c r="M64" s="30" t="s">
        <v>179</v>
      </c>
      <c r="N64" s="125"/>
      <c r="O64" s="125"/>
    </row>
    <row r="65" spans="1:35" ht="26.25" customHeight="1" x14ac:dyDescent="0.25">
      <c r="A65" s="9">
        <v>34</v>
      </c>
      <c r="B65" s="9">
        <v>34</v>
      </c>
      <c r="C65" s="8" t="s">
        <v>71</v>
      </c>
      <c r="D65" s="8" t="s">
        <v>71</v>
      </c>
      <c r="E65" s="296"/>
      <c r="F65" s="6">
        <v>51</v>
      </c>
      <c r="G65" s="71" t="s">
        <v>266</v>
      </c>
      <c r="H65" s="49" t="s">
        <v>165</v>
      </c>
      <c r="I65" s="50"/>
      <c r="J65" s="50"/>
      <c r="K65" s="51"/>
      <c r="L65" s="38"/>
      <c r="M65" s="3" t="s">
        <v>181</v>
      </c>
      <c r="N65" s="125"/>
      <c r="O65" s="125"/>
    </row>
    <row r="66" spans="1:35" ht="26.25" customHeight="1" x14ac:dyDescent="0.25">
      <c r="A66" s="9">
        <v>35</v>
      </c>
      <c r="B66" s="9">
        <v>35</v>
      </c>
      <c r="C66" s="8" t="s">
        <v>71</v>
      </c>
      <c r="D66" s="8" t="s">
        <v>71</v>
      </c>
      <c r="E66" s="296"/>
      <c r="F66" s="6">
        <v>52</v>
      </c>
      <c r="G66" s="71" t="s">
        <v>117</v>
      </c>
      <c r="H66" s="52" t="s">
        <v>166</v>
      </c>
      <c r="I66" s="53"/>
      <c r="J66" s="53"/>
      <c r="K66" s="54"/>
      <c r="L66" s="38" t="s">
        <v>152</v>
      </c>
      <c r="M66" s="3" t="s">
        <v>82</v>
      </c>
      <c r="N66" s="122">
        <f>IF(N65=0,0,(N63*N64/N65))</f>
        <v>0</v>
      </c>
      <c r="O66" s="122">
        <f>IF(O65=0,0,(O63*O64/O65))</f>
        <v>0</v>
      </c>
    </row>
    <row r="67" spans="1:35" ht="26.25" customHeight="1" x14ac:dyDescent="0.25">
      <c r="A67" s="9">
        <v>36</v>
      </c>
      <c r="B67" s="9">
        <v>36</v>
      </c>
      <c r="C67" s="8" t="s">
        <v>71</v>
      </c>
      <c r="D67" s="8" t="s">
        <v>71</v>
      </c>
      <c r="E67" s="296"/>
      <c r="F67" s="6">
        <v>53</v>
      </c>
      <c r="G67" s="71" t="s">
        <v>118</v>
      </c>
      <c r="H67" s="305"/>
      <c r="I67" s="306"/>
      <c r="J67" s="306"/>
      <c r="K67" s="307"/>
      <c r="L67" s="38" t="s">
        <v>153</v>
      </c>
      <c r="M67" s="3" t="s">
        <v>82</v>
      </c>
      <c r="N67" s="122">
        <f>N66^(2/3)</f>
        <v>0</v>
      </c>
      <c r="O67" s="122">
        <f>O66^(2/3)</f>
        <v>0</v>
      </c>
    </row>
    <row r="68" spans="1:35" ht="26.25" customHeight="1" x14ac:dyDescent="0.25">
      <c r="A68" s="9">
        <v>37</v>
      </c>
      <c r="B68" s="9">
        <v>37</v>
      </c>
      <c r="C68" s="8" t="s">
        <v>71</v>
      </c>
      <c r="D68" s="8" t="s">
        <v>71</v>
      </c>
      <c r="E68" s="296"/>
      <c r="F68" s="6">
        <v>54</v>
      </c>
      <c r="G68" s="64" t="s">
        <v>119</v>
      </c>
      <c r="H68" s="49" t="s">
        <v>167</v>
      </c>
      <c r="I68" s="55"/>
      <c r="J68" s="55"/>
      <c r="K68" s="56"/>
      <c r="L68" s="36" t="s">
        <v>154</v>
      </c>
      <c r="M68" s="3" t="s">
        <v>180</v>
      </c>
      <c r="N68" s="126">
        <f>IF(N26=0,0,(N47/N26))</f>
        <v>0</v>
      </c>
      <c r="O68" s="126">
        <f>IF(O26=0,0,(O47/O26))</f>
        <v>0</v>
      </c>
    </row>
    <row r="69" spans="1:35" ht="26.25" customHeight="1" x14ac:dyDescent="0.25">
      <c r="A69" s="9">
        <v>38</v>
      </c>
      <c r="B69" s="9">
        <v>38</v>
      </c>
      <c r="C69" s="8" t="s">
        <v>71</v>
      </c>
      <c r="D69" s="8" t="s">
        <v>71</v>
      </c>
      <c r="E69" s="296"/>
      <c r="F69" s="6">
        <v>55</v>
      </c>
      <c r="G69" s="72" t="s">
        <v>120</v>
      </c>
      <c r="H69" s="308" t="s">
        <v>168</v>
      </c>
      <c r="I69" s="279"/>
      <c r="J69" s="279"/>
      <c r="K69" s="280"/>
      <c r="L69" s="42" t="s">
        <v>155</v>
      </c>
      <c r="M69" s="30" t="s">
        <v>82</v>
      </c>
      <c r="N69" s="126">
        <f>IF(N64=0,0,(N68*N21/(12*N64)))</f>
        <v>0</v>
      </c>
      <c r="O69" s="126">
        <f>IF(O64=0,0,(O68*O21/(12*O64)))</f>
        <v>0</v>
      </c>
    </row>
    <row r="70" spans="1:35" ht="26.25" customHeight="1" x14ac:dyDescent="0.25">
      <c r="A70" s="9">
        <v>39</v>
      </c>
      <c r="B70" s="9">
        <v>39</v>
      </c>
      <c r="C70" s="8" t="s">
        <v>71</v>
      </c>
      <c r="D70" s="8" t="s">
        <v>71</v>
      </c>
      <c r="E70" s="296"/>
      <c r="F70" s="6">
        <v>56</v>
      </c>
      <c r="G70" s="71" t="s">
        <v>121</v>
      </c>
      <c r="H70" s="52" t="s">
        <v>364</v>
      </c>
      <c r="I70" s="57"/>
      <c r="J70" s="57"/>
      <c r="K70" s="58"/>
      <c r="L70" s="38"/>
      <c r="M70" s="3" t="s">
        <v>82</v>
      </c>
      <c r="N70" s="127"/>
      <c r="O70" s="127"/>
    </row>
    <row r="71" spans="1:35" ht="44.1" customHeight="1" x14ac:dyDescent="0.25">
      <c r="A71" s="9">
        <v>40</v>
      </c>
      <c r="B71" s="9">
        <v>40</v>
      </c>
      <c r="C71" s="8" t="s">
        <v>71</v>
      </c>
      <c r="D71" s="8" t="s">
        <v>71</v>
      </c>
      <c r="E71" s="296"/>
      <c r="F71" s="6">
        <v>57</v>
      </c>
      <c r="G71" s="139" t="s">
        <v>274</v>
      </c>
      <c r="H71" s="241" t="s">
        <v>209</v>
      </c>
      <c r="I71" s="270"/>
      <c r="J71" s="270"/>
      <c r="K71" s="242"/>
      <c r="L71" s="38"/>
      <c r="M71" s="3"/>
      <c r="N71" s="125"/>
      <c r="O71" s="125"/>
    </row>
    <row r="72" spans="1:35" ht="26.25" customHeight="1" x14ac:dyDescent="0.25">
      <c r="A72" s="9">
        <v>41</v>
      </c>
      <c r="B72" s="9">
        <v>41</v>
      </c>
      <c r="C72" s="8" t="s">
        <v>71</v>
      </c>
      <c r="D72" s="8" t="s">
        <v>71</v>
      </c>
      <c r="E72" s="296"/>
      <c r="F72" s="9">
        <v>58</v>
      </c>
      <c r="G72" s="71" t="s">
        <v>210</v>
      </c>
      <c r="H72" s="309" t="s">
        <v>208</v>
      </c>
      <c r="I72" s="310"/>
      <c r="J72" s="310"/>
      <c r="K72" s="311"/>
      <c r="L72" s="38" t="s">
        <v>156</v>
      </c>
      <c r="M72" s="33" t="s">
        <v>183</v>
      </c>
      <c r="N72" s="128">
        <f>IF(N67*N71=0,0,(N70*N63*N68)/(N67*N71))</f>
        <v>0</v>
      </c>
      <c r="O72" s="177">
        <f>IF(O67*O71=0,0,(O70*O63*O68)/(O67*O71))</f>
        <v>0</v>
      </c>
    </row>
    <row r="73" spans="1:35" ht="26.25" customHeight="1" x14ac:dyDescent="0.25">
      <c r="A73" s="9">
        <v>42</v>
      </c>
      <c r="B73" s="9">
        <v>42</v>
      </c>
      <c r="C73" s="8"/>
      <c r="D73" s="8"/>
      <c r="E73" s="296"/>
      <c r="F73" s="7">
        <v>59</v>
      </c>
      <c r="G73" s="73" t="s">
        <v>224</v>
      </c>
      <c r="H73" s="292" t="s">
        <v>83</v>
      </c>
      <c r="I73" s="334"/>
      <c r="J73" s="334"/>
      <c r="K73" s="334"/>
      <c r="L73" s="43"/>
      <c r="M73" s="3" t="s">
        <v>182</v>
      </c>
      <c r="N73" s="129"/>
      <c r="O73" s="129"/>
    </row>
    <row r="74" spans="1:35" ht="18" customHeight="1" x14ac:dyDescent="0.25">
      <c r="A74" s="9">
        <v>43</v>
      </c>
      <c r="B74" s="9">
        <v>43</v>
      </c>
      <c r="C74" s="8" t="s">
        <v>71</v>
      </c>
      <c r="D74" s="8" t="s">
        <v>71</v>
      </c>
      <c r="E74" s="296"/>
      <c r="F74" s="221">
        <v>60</v>
      </c>
      <c r="G74"/>
      <c r="H74" s="312" t="s">
        <v>213</v>
      </c>
      <c r="I74" s="313"/>
      <c r="J74" s="313"/>
      <c r="K74" s="314"/>
      <c r="L74" s="38"/>
      <c r="M74" s="3"/>
      <c r="N74" s="103">
        <f>IF($L6="Choose Coil Type",0,IF($L6="Cold Water",N75,N76))</f>
        <v>0</v>
      </c>
      <c r="O74" s="178">
        <f>IF($L6="Choose Coil Type",0,IF($L6="Cold Water",O75,O76))</f>
        <v>0</v>
      </c>
    </row>
    <row r="75" spans="1:35" ht="18" customHeight="1" x14ac:dyDescent="0.25">
      <c r="A75" s="9">
        <v>44</v>
      </c>
      <c r="B75" s="9">
        <v>44</v>
      </c>
      <c r="C75" s="8"/>
      <c r="D75" s="8"/>
      <c r="E75" s="296"/>
      <c r="F75" s="222"/>
      <c r="G75" s="71" t="s">
        <v>211</v>
      </c>
      <c r="H75" s="335" t="s">
        <v>54</v>
      </c>
      <c r="I75" s="336"/>
      <c r="J75" s="336"/>
      <c r="K75" s="337"/>
      <c r="L75" s="87" t="s">
        <v>223</v>
      </c>
      <c r="M75" s="3" t="s">
        <v>182</v>
      </c>
      <c r="N75" s="130">
        <f>IF(N72=0,0,(N16*(1/N72 + N73)))</f>
        <v>0</v>
      </c>
      <c r="O75" s="130">
        <f>IF(O72=0,0,(O16*(1/O72 + O73)))</f>
        <v>0</v>
      </c>
    </row>
    <row r="76" spans="1:35" ht="18" customHeight="1" x14ac:dyDescent="0.25">
      <c r="A76" s="9"/>
      <c r="B76" s="9"/>
      <c r="C76" s="8">
        <v>42</v>
      </c>
      <c r="D76" s="8">
        <v>42</v>
      </c>
      <c r="E76" s="296"/>
      <c r="F76" s="222"/>
      <c r="G76" s="71" t="s">
        <v>212</v>
      </c>
      <c r="H76" s="338" t="s">
        <v>233</v>
      </c>
      <c r="I76" s="210"/>
      <c r="J76" s="210"/>
      <c r="K76" s="339"/>
      <c r="L76" s="38" t="s">
        <v>234</v>
      </c>
      <c r="M76" s="3" t="s">
        <v>182</v>
      </c>
      <c r="N76" s="131"/>
      <c r="O76" s="131"/>
    </row>
    <row r="77" spans="1:35" s="15" customFormat="1" ht="33" customHeight="1" x14ac:dyDescent="0.25">
      <c r="A77" s="95">
        <v>45</v>
      </c>
      <c r="B77" s="95">
        <v>45</v>
      </c>
      <c r="C77" s="95">
        <v>43</v>
      </c>
      <c r="D77" s="107">
        <v>43</v>
      </c>
      <c r="E77" s="296" t="s">
        <v>74</v>
      </c>
      <c r="F77" s="134">
        <v>61</v>
      </c>
      <c r="G77" s="64" t="s">
        <v>122</v>
      </c>
      <c r="H77" s="217" t="s">
        <v>366</v>
      </c>
      <c r="I77" s="217"/>
      <c r="J77" s="217"/>
      <c r="K77" s="217"/>
      <c r="L77" s="93"/>
      <c r="M77" s="33" t="s">
        <v>182</v>
      </c>
      <c r="N77" s="127"/>
      <c r="O77" s="12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s="15" customFormat="1" ht="33" customHeight="1" x14ac:dyDescent="0.25">
      <c r="A78" s="95">
        <v>46</v>
      </c>
      <c r="B78" s="95">
        <v>46</v>
      </c>
      <c r="C78" s="95">
        <v>44</v>
      </c>
      <c r="D78" s="107">
        <v>44</v>
      </c>
      <c r="E78" s="296"/>
      <c r="F78" s="96">
        <v>62</v>
      </c>
      <c r="G78" s="64" t="s">
        <v>123</v>
      </c>
      <c r="H78" s="318" t="s">
        <v>365</v>
      </c>
      <c r="I78" s="319"/>
      <c r="J78" s="319"/>
      <c r="K78" s="320"/>
      <c r="L78" s="93"/>
      <c r="M78" s="33" t="s">
        <v>182</v>
      </c>
      <c r="N78" s="129"/>
      <c r="O78" s="129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ht="33" customHeight="1" x14ac:dyDescent="0.25">
      <c r="A79" s="26">
        <v>47</v>
      </c>
      <c r="B79" s="26">
        <v>47</v>
      </c>
      <c r="C79" s="26">
        <v>45</v>
      </c>
      <c r="D79" s="106">
        <v>45</v>
      </c>
      <c r="E79" s="296"/>
      <c r="F79" s="6">
        <v>63</v>
      </c>
      <c r="G79" s="64" t="s">
        <v>124</v>
      </c>
      <c r="H79" s="187" t="s">
        <v>367</v>
      </c>
      <c r="I79" s="187"/>
      <c r="J79" s="187"/>
      <c r="K79" s="187"/>
      <c r="L79" s="16"/>
      <c r="M79" s="3" t="s">
        <v>182</v>
      </c>
      <c r="N79" s="132"/>
      <c r="O79" s="132"/>
    </row>
    <row r="80" spans="1:35" ht="36" customHeight="1" x14ac:dyDescent="0.25">
      <c r="A80" s="10">
        <v>48</v>
      </c>
      <c r="B80" s="10">
        <v>48</v>
      </c>
      <c r="C80" s="10">
        <v>46</v>
      </c>
      <c r="D80" s="108">
        <v>46</v>
      </c>
      <c r="E80" s="296"/>
      <c r="F80" s="11">
        <v>64</v>
      </c>
      <c r="G80" s="67" t="s">
        <v>49</v>
      </c>
      <c r="H80" s="292" t="s">
        <v>242</v>
      </c>
      <c r="I80" s="293"/>
      <c r="J80" s="293"/>
      <c r="K80" s="294"/>
      <c r="L80" s="88"/>
      <c r="M80" s="3"/>
      <c r="N80" s="104">
        <f>IF($L6="Choose Coil Type",0,IF($L6="Cold Water",N81,N82))</f>
        <v>0</v>
      </c>
      <c r="O80" s="133">
        <f>IF($L6="Choose Coil Type",0,IF($L6="Cold Water",O81,O82))</f>
        <v>0</v>
      </c>
    </row>
    <row r="81" spans="1:15" ht="18" customHeight="1" x14ac:dyDescent="0.25">
      <c r="A81" s="12"/>
      <c r="C81" s="12"/>
      <c r="D81" s="12"/>
      <c r="E81" s="302"/>
      <c r="F81" s="21"/>
      <c r="G81" s="65"/>
      <c r="H81" s="98"/>
      <c r="I81" s="198" t="s">
        <v>235</v>
      </c>
      <c r="J81" s="198"/>
      <c r="K81" s="199"/>
      <c r="L81" s="99" t="s">
        <v>237</v>
      </c>
      <c r="M81" s="3" t="s">
        <v>184</v>
      </c>
      <c r="N81" s="133">
        <f>IF(N78=0,0,((N75 + N79)/(0.243*N78)))</f>
        <v>0</v>
      </c>
      <c r="O81" s="133">
        <f>IF(O78=0,0,((O75 + O79)/(0.243*O78)))</f>
        <v>0</v>
      </c>
    </row>
    <row r="82" spans="1:15" ht="18" customHeight="1" x14ac:dyDescent="0.25">
      <c r="A82" s="12"/>
      <c r="B82" s="12"/>
      <c r="C82" s="12"/>
      <c r="D82" s="75"/>
      <c r="E82" s="296"/>
      <c r="F82" s="6"/>
      <c r="G82" s="68"/>
      <c r="H82" s="98"/>
      <c r="I82" s="274" t="s">
        <v>236</v>
      </c>
      <c r="J82" s="274"/>
      <c r="K82" s="275"/>
      <c r="L82" s="99" t="s">
        <v>238</v>
      </c>
      <c r="M82" s="3" t="s">
        <v>184</v>
      </c>
      <c r="N82" s="133">
        <f>IF(N76=0,0,((N76 + N79)/(0.243*N78)))</f>
        <v>0</v>
      </c>
      <c r="O82" s="133">
        <f>IF(O76=0,0,((O76 + O79)/(0.243*O78)))</f>
        <v>0</v>
      </c>
    </row>
    <row r="83" spans="1:15" ht="33" customHeight="1" x14ac:dyDescent="0.25">
      <c r="A83" s="10">
        <v>49</v>
      </c>
      <c r="B83" s="10">
        <v>49</v>
      </c>
      <c r="C83" s="10">
        <v>47</v>
      </c>
      <c r="D83" s="108">
        <v>47</v>
      </c>
      <c r="E83" s="296"/>
      <c r="F83" s="11">
        <v>65</v>
      </c>
      <c r="G83" s="94" t="s">
        <v>84</v>
      </c>
      <c r="H83" s="190" t="s">
        <v>70</v>
      </c>
      <c r="I83" s="191"/>
      <c r="J83" s="191"/>
      <c r="K83" s="192"/>
      <c r="L83" s="41"/>
      <c r="M83" s="3" t="s">
        <v>184</v>
      </c>
      <c r="N83" s="104">
        <f>IF($L$6="Choose Coil Type",0,IF($L$6="Cold Water",N84,N85))</f>
        <v>0</v>
      </c>
      <c r="O83" s="133">
        <f>IF($L$6="Choose Coil Type",0,IF($L$6="Cold Water",O84,O85))</f>
        <v>0</v>
      </c>
    </row>
    <row r="84" spans="1:15" ht="27" customHeight="1" x14ac:dyDescent="0.25">
      <c r="A84" s="12"/>
      <c r="B84" s="12"/>
      <c r="C84" s="12"/>
      <c r="D84" s="75"/>
      <c r="E84" s="296"/>
      <c r="F84" s="21"/>
      <c r="G84" s="72"/>
      <c r="H84" s="100"/>
      <c r="I84" s="326" t="s">
        <v>235</v>
      </c>
      <c r="J84" s="326"/>
      <c r="K84" s="327"/>
      <c r="L84" s="97" t="s">
        <v>239</v>
      </c>
      <c r="M84" s="3" t="s">
        <v>184</v>
      </c>
      <c r="N84" s="133">
        <f>IF(N39=0,0,(N48-N33)/(N39-N45))</f>
        <v>0</v>
      </c>
      <c r="O84" s="133">
        <f>IF(O39=0,0,(O48-O33)/(O39-O45))</f>
        <v>0</v>
      </c>
    </row>
    <row r="85" spans="1:15" ht="27" customHeight="1" x14ac:dyDescent="0.25">
      <c r="A85" s="26"/>
      <c r="B85" s="26"/>
      <c r="C85" s="26"/>
      <c r="D85" s="106"/>
      <c r="E85" s="296"/>
      <c r="F85" s="6"/>
      <c r="G85" s="68"/>
      <c r="H85" s="59"/>
      <c r="I85" s="270" t="s">
        <v>236</v>
      </c>
      <c r="J85" s="270"/>
      <c r="K85" s="242"/>
      <c r="L85" s="89" t="s">
        <v>346</v>
      </c>
      <c r="M85" s="3" t="s">
        <v>184</v>
      </c>
      <c r="N85" s="133">
        <f t="shared" ref="N85:O85" si="4">IF(N39=0,0,(N59-N58)/(N39-N45))</f>
        <v>0</v>
      </c>
      <c r="O85" s="133">
        <f t="shared" si="4"/>
        <v>0</v>
      </c>
    </row>
    <row r="86" spans="1:15" ht="27.95" customHeight="1" x14ac:dyDescent="0.25">
      <c r="A86" s="10">
        <v>50</v>
      </c>
      <c r="B86" s="10">
        <v>50</v>
      </c>
      <c r="C86" s="10">
        <v>48</v>
      </c>
      <c r="D86" s="108">
        <v>48</v>
      </c>
      <c r="E86" s="296"/>
      <c r="F86" s="10">
        <v>66</v>
      </c>
      <c r="G86" s="94" t="s">
        <v>225</v>
      </c>
      <c r="H86" s="197" t="s">
        <v>264</v>
      </c>
      <c r="I86" s="287"/>
      <c r="J86" s="287"/>
      <c r="K86" s="288"/>
      <c r="L86" s="97" t="s">
        <v>243</v>
      </c>
      <c r="M86" s="30" t="s">
        <v>142</v>
      </c>
      <c r="N86" s="116"/>
      <c r="O86" s="116"/>
    </row>
    <row r="87" spans="1:15" ht="20.100000000000001" customHeight="1" x14ac:dyDescent="0.25">
      <c r="A87" s="12"/>
      <c r="B87" s="12"/>
      <c r="C87" s="12"/>
      <c r="D87" s="75"/>
      <c r="E87" s="296"/>
      <c r="F87" s="22"/>
      <c r="G87" s="65"/>
      <c r="H87" s="197" t="s">
        <v>226</v>
      </c>
      <c r="I87" s="198"/>
      <c r="J87" s="198"/>
      <c r="K87" s="198"/>
      <c r="L87" s="321"/>
      <c r="M87" s="113"/>
      <c r="N87" s="324"/>
      <c r="O87" s="324"/>
    </row>
    <row r="88" spans="1:15" ht="27.95" customHeight="1" x14ac:dyDescent="0.25">
      <c r="A88" s="12"/>
      <c r="B88" s="12"/>
      <c r="C88" s="12"/>
      <c r="D88" s="75"/>
      <c r="E88" s="296"/>
      <c r="F88" s="22"/>
      <c r="G88" s="65"/>
      <c r="H88" s="289" t="s">
        <v>265</v>
      </c>
      <c r="I88" s="290"/>
      <c r="J88" s="290"/>
      <c r="K88" s="291"/>
      <c r="L88" s="322"/>
      <c r="M88" s="114"/>
      <c r="N88" s="324"/>
      <c r="O88" s="324"/>
    </row>
    <row r="89" spans="1:15" ht="27.95" customHeight="1" x14ac:dyDescent="0.25">
      <c r="A89" s="26"/>
      <c r="B89" s="26"/>
      <c r="C89" s="26"/>
      <c r="D89" s="106"/>
      <c r="E89" s="296"/>
      <c r="F89" s="23"/>
      <c r="G89" s="68"/>
      <c r="H89" s="289" t="s">
        <v>244</v>
      </c>
      <c r="I89" s="290"/>
      <c r="J89" s="290"/>
      <c r="K89" s="291"/>
      <c r="L89" s="323"/>
      <c r="M89" s="114"/>
      <c r="N89" s="325"/>
      <c r="O89" s="325"/>
    </row>
    <row r="90" spans="1:15" ht="33" customHeight="1" x14ac:dyDescent="0.25">
      <c r="A90" s="9">
        <v>51</v>
      </c>
      <c r="B90" s="9">
        <v>51</v>
      </c>
      <c r="C90" s="9">
        <v>49</v>
      </c>
      <c r="D90" s="109">
        <v>49</v>
      </c>
      <c r="E90" s="296"/>
      <c r="F90" s="6">
        <v>67</v>
      </c>
      <c r="G90" s="73" t="s">
        <v>227</v>
      </c>
      <c r="H90" s="295" t="s">
        <v>245</v>
      </c>
      <c r="I90" s="295"/>
      <c r="J90" s="295"/>
      <c r="K90" s="295"/>
      <c r="L90" s="44"/>
      <c r="M90" s="78" t="s">
        <v>32</v>
      </c>
      <c r="N90" s="146"/>
      <c r="O90" s="146"/>
    </row>
    <row r="91" spans="1:15" ht="18.75" customHeight="1" x14ac:dyDescent="0.25">
      <c r="A91" s="10">
        <v>52</v>
      </c>
      <c r="B91" s="10">
        <v>52</v>
      </c>
      <c r="C91" s="10">
        <v>50</v>
      </c>
      <c r="D91" s="108">
        <v>50</v>
      </c>
      <c r="E91" s="296"/>
      <c r="F91" s="11">
        <v>68</v>
      </c>
      <c r="G91" s="67" t="s">
        <v>127</v>
      </c>
      <c r="H91" s="187" t="s">
        <v>246</v>
      </c>
      <c r="I91" s="187"/>
      <c r="J91" s="187"/>
      <c r="K91" s="187"/>
      <c r="L91" s="115" t="s">
        <v>338</v>
      </c>
      <c r="M91" s="18" t="s">
        <v>32</v>
      </c>
      <c r="N91" s="147">
        <f>IF($L$6="Choose Coil Type",0,IF(N92&gt;N39,N39,N92))</f>
        <v>0</v>
      </c>
      <c r="O91" s="147">
        <f t="shared" ref="O91" si="5">IF($L$6="Choose Coil Type",0,IF(O92&gt;O39,O39,O92))</f>
        <v>0</v>
      </c>
    </row>
    <row r="92" spans="1:15" ht="18.75" customHeight="1" x14ac:dyDescent="0.25">
      <c r="A92" s="12"/>
      <c r="B92" s="12"/>
      <c r="C92" s="12"/>
      <c r="D92" s="75"/>
      <c r="E92" s="296"/>
      <c r="F92" s="21"/>
      <c r="G92" s="65"/>
      <c r="H92" s="203"/>
      <c r="I92" s="204"/>
      <c r="J92" s="241" t="s">
        <v>337</v>
      </c>
      <c r="K92" s="242"/>
      <c r="L92" s="170" t="s">
        <v>336</v>
      </c>
      <c r="M92" s="18" t="s">
        <v>32</v>
      </c>
      <c r="N92" s="147">
        <f>IF($L$6="Choose Coil Type",0,(IF($L$6=$J93,N93,IF($L$6="Volatile Refrigerant (Thermal Counterflow)",N94,N95))))</f>
        <v>0</v>
      </c>
      <c r="O92" s="147">
        <f>IF($L$6="Choose Coil Type",0,(IF($L$6=$J93,O93,IF($L$6="Volatile Refrigerant (Thermal Counterflow)",O94,O95))))</f>
        <v>0</v>
      </c>
    </row>
    <row r="93" spans="1:15" ht="18" customHeight="1" x14ac:dyDescent="0.25">
      <c r="A93" s="12"/>
      <c r="B93" s="12"/>
      <c r="C93" s="12"/>
      <c r="D93" s="75"/>
      <c r="E93" s="296"/>
      <c r="F93" s="21"/>
      <c r="G93" s="65"/>
      <c r="H93" s="243"/>
      <c r="I93" s="206"/>
      <c r="J93" s="193" t="s">
        <v>235</v>
      </c>
      <c r="K93" s="189"/>
      <c r="L93" s="44" t="s">
        <v>228</v>
      </c>
      <c r="M93" s="18" t="s">
        <v>32</v>
      </c>
      <c r="N93" s="147">
        <f>IF((N80 + N83) = 0,0,(N86-N48+(N83*N39)+(N80*N90))/(N80+N83))</f>
        <v>0</v>
      </c>
      <c r="O93" s="147">
        <f>IF((O80 + O83) = 0,0,(O86-O48+(O83*O39)+(O80*O90))/(O80+O83))</f>
        <v>0</v>
      </c>
    </row>
    <row r="94" spans="1:15" ht="27.95" customHeight="1" x14ac:dyDescent="0.25">
      <c r="A94" s="12"/>
      <c r="B94" s="12"/>
      <c r="C94" s="12"/>
      <c r="D94" s="12"/>
      <c r="E94" s="303"/>
      <c r="F94" s="21"/>
      <c r="G94" s="65"/>
      <c r="H94" s="243"/>
      <c r="I94" s="206"/>
      <c r="J94" s="194" t="s">
        <v>240</v>
      </c>
      <c r="K94" s="195"/>
      <c r="L94" s="44" t="s">
        <v>229</v>
      </c>
      <c r="M94" s="18" t="s">
        <v>32</v>
      </c>
      <c r="N94" s="148">
        <f t="shared" ref="N94:O94" si="6">IF(N80 + N83 = 0,0,(N86-N59  +(N83*N39)+(N80*N90))/(N80+N83))</f>
        <v>0</v>
      </c>
      <c r="O94" s="148">
        <f t="shared" si="6"/>
        <v>0</v>
      </c>
    </row>
    <row r="95" spans="1:15" ht="27.95" customHeight="1" x14ac:dyDescent="0.25">
      <c r="A95" s="12"/>
      <c r="B95" s="12"/>
      <c r="C95" s="12"/>
      <c r="D95" s="75"/>
      <c r="E95" s="296"/>
      <c r="F95" s="21"/>
      <c r="G95" s="65"/>
      <c r="H95" s="207"/>
      <c r="I95" s="208"/>
      <c r="J95" s="193" t="s">
        <v>248</v>
      </c>
      <c r="K95" s="189"/>
      <c r="L95" s="44" t="s">
        <v>249</v>
      </c>
      <c r="M95" s="18" t="s">
        <v>32</v>
      </c>
      <c r="N95" s="148">
        <f t="shared" ref="N95:O95" si="7">IF(N80 - N83 = 0,0,(N86-N58  - (N83*N39)+(N80*N90))/(N80-N83))</f>
        <v>0</v>
      </c>
      <c r="O95" s="148">
        <f t="shared" si="7"/>
        <v>0</v>
      </c>
    </row>
    <row r="96" spans="1:15" ht="39.950000000000003" customHeight="1" x14ac:dyDescent="0.25">
      <c r="A96" s="10">
        <v>53</v>
      </c>
      <c r="B96" s="10">
        <v>53</v>
      </c>
      <c r="C96" s="10">
        <v>51</v>
      </c>
      <c r="D96" s="108">
        <v>51</v>
      </c>
      <c r="E96" s="296"/>
      <c r="F96" s="11">
        <v>69</v>
      </c>
      <c r="G96" s="105" t="s">
        <v>261</v>
      </c>
      <c r="H96" s="187" t="s">
        <v>326</v>
      </c>
      <c r="I96" s="187"/>
      <c r="J96" s="187"/>
      <c r="K96" s="187"/>
      <c r="L96" s="16"/>
      <c r="M96" s="30" t="s">
        <v>142</v>
      </c>
      <c r="N96" s="147">
        <f>IF($L6="Choose Coil Type",0,(IF($L6=$J97,N97,IF($L6="Volatile Refrigerant (Thermal Counterflow)",N98,N99))))</f>
        <v>0</v>
      </c>
      <c r="O96" s="147">
        <f>IF($L6="Choose Coil Type",0,(IF($L6=$J97,O97,IF($L6="Volatile Refrigerant (Thermal Counterflow)",O98,O99))))</f>
        <v>0</v>
      </c>
    </row>
    <row r="97" spans="1:15" ht="18" customHeight="1" x14ac:dyDescent="0.25">
      <c r="A97" s="12"/>
      <c r="B97" s="12"/>
      <c r="C97" s="12"/>
      <c r="D97" s="75"/>
      <c r="E97" s="296"/>
      <c r="F97" s="21"/>
      <c r="G97" s="65"/>
      <c r="H97" s="203"/>
      <c r="I97" s="204"/>
      <c r="J97" s="193" t="s">
        <v>235</v>
      </c>
      <c r="K97" s="189"/>
      <c r="L97" s="44" t="s">
        <v>252</v>
      </c>
      <c r="M97" s="30" t="s">
        <v>142</v>
      </c>
      <c r="N97" s="147">
        <f t="shared" ref="N97:O97" si="8">IF($L6="Volatile Refrigerant (Thermal Counterflow)",0,IF($L6="Volatile Refrigerant (Thermal Parallel Flow)",0,N48-(N83*(N39-N91))))</f>
        <v>0</v>
      </c>
      <c r="O97" s="147">
        <f t="shared" si="8"/>
        <v>0</v>
      </c>
    </row>
    <row r="98" spans="1:15" ht="27.95" customHeight="1" x14ac:dyDescent="0.25">
      <c r="A98" s="75"/>
      <c r="B98" s="75"/>
      <c r="C98" s="75"/>
      <c r="D98" s="75"/>
      <c r="E98" s="303"/>
      <c r="F98" s="21"/>
      <c r="G98" s="181"/>
      <c r="H98" s="205"/>
      <c r="I98" s="206"/>
      <c r="J98" s="194" t="s">
        <v>240</v>
      </c>
      <c r="K98" s="195"/>
      <c r="L98" s="44" t="s">
        <v>251</v>
      </c>
      <c r="M98" s="30" t="s">
        <v>142</v>
      </c>
      <c r="N98" s="147">
        <f>IF($L6="Cold Water",0,N59-(N83*(N39-N91)))</f>
        <v>0</v>
      </c>
      <c r="O98" s="147">
        <f t="shared" ref="O98" si="9">IF($L6="Cold Water",0,O59-(O83*(O39-O91)))</f>
        <v>0</v>
      </c>
    </row>
    <row r="99" spans="1:15" ht="27.95" customHeight="1" x14ac:dyDescent="0.25">
      <c r="A99" s="12"/>
      <c r="B99" s="12"/>
      <c r="C99" s="12"/>
      <c r="D99" s="75"/>
      <c r="E99" s="296"/>
      <c r="F99" s="21"/>
      <c r="G99" s="65"/>
      <c r="H99" s="207"/>
      <c r="I99" s="208"/>
      <c r="J99" s="193" t="s">
        <v>248</v>
      </c>
      <c r="K99" s="189"/>
      <c r="L99" s="44" t="s">
        <v>253</v>
      </c>
      <c r="M99" s="30" t="s">
        <v>142</v>
      </c>
      <c r="N99" s="147">
        <f>IF($L6="Cold Water",0,N58 + (N83*(N39 - N91)))</f>
        <v>0</v>
      </c>
      <c r="O99" s="147">
        <f t="shared" ref="O99" si="10">IF($L6="Cold Water",0,O58 + (O83*(O39 - O91)))</f>
        <v>0</v>
      </c>
    </row>
    <row r="100" spans="1:15" ht="39.950000000000003" customHeight="1" x14ac:dyDescent="0.25">
      <c r="A100" s="10">
        <v>54</v>
      </c>
      <c r="B100" s="10">
        <v>54</v>
      </c>
      <c r="C100" s="10">
        <v>52</v>
      </c>
      <c r="D100" s="108">
        <v>52</v>
      </c>
      <c r="E100" s="296"/>
      <c r="F100" s="11">
        <v>70</v>
      </c>
      <c r="G100" s="105" t="s">
        <v>254</v>
      </c>
      <c r="H100" s="298" t="s">
        <v>345</v>
      </c>
      <c r="I100" s="298"/>
      <c r="J100" s="187"/>
      <c r="K100" s="187"/>
      <c r="L100" s="101"/>
      <c r="M100" s="30" t="s">
        <v>142</v>
      </c>
      <c r="N100" s="147">
        <f>IF($L$6="Choose Coil Type",0,(IF($L$6=$J101,N101,IF($L$6="Volatile Refrigerant (Thermal Counterflow)",N102,N103))))</f>
        <v>0</v>
      </c>
      <c r="O100" s="147">
        <f>IF($L$6="Choose Coil Type",0,(IF($L$6=$J101,O101,IF($L$6="Volatile Refrigerant (Thermal Counterflow)",O102,O103))))</f>
        <v>0</v>
      </c>
    </row>
    <row r="101" spans="1:15" ht="18.75" customHeight="1" x14ac:dyDescent="0.25">
      <c r="A101" s="12"/>
      <c r="B101" s="12"/>
      <c r="C101" s="12"/>
      <c r="D101" s="75"/>
      <c r="E101" s="296"/>
      <c r="F101" s="21"/>
      <c r="G101" s="72"/>
      <c r="H101" s="281"/>
      <c r="I101" s="282"/>
      <c r="J101" s="279" t="s">
        <v>235</v>
      </c>
      <c r="K101" s="280"/>
      <c r="L101" s="44" t="s">
        <v>255</v>
      </c>
      <c r="M101" s="30" t="s">
        <v>142</v>
      </c>
      <c r="N101" s="147">
        <f>IF($L$8="Fully Wet Surface",(N33+N48)/2,(N96+N48)/2)</f>
        <v>0</v>
      </c>
      <c r="O101" s="147">
        <f>IF($L$8="Fully Wet Surface",(O33+O48)/2,(O96+O48)/2)</f>
        <v>0</v>
      </c>
    </row>
    <row r="102" spans="1:15" ht="27.95" customHeight="1" x14ac:dyDescent="0.25">
      <c r="A102" s="12"/>
      <c r="B102" s="12"/>
      <c r="C102" s="12"/>
      <c r="D102" s="75"/>
      <c r="E102" s="296"/>
      <c r="F102" s="21"/>
      <c r="G102" s="72"/>
      <c r="H102" s="283"/>
      <c r="I102" s="284"/>
      <c r="J102" s="196" t="s">
        <v>240</v>
      </c>
      <c r="K102" s="195"/>
      <c r="L102" s="44" t="s">
        <v>256</v>
      </c>
      <c r="M102" s="30" t="s">
        <v>142</v>
      </c>
      <c r="N102" s="147">
        <f>IF($L$8="Fully Wet Surface",(N58+N59)/2,(N96+N58)/2)</f>
        <v>0</v>
      </c>
      <c r="O102" s="147">
        <f t="shared" ref="O102" si="11">IF($L$8="Fully Wet Surface",(O58+O59)/2,(O96+O58)/2)</f>
        <v>0</v>
      </c>
    </row>
    <row r="103" spans="1:15" ht="27.95" customHeight="1" x14ac:dyDescent="0.25">
      <c r="A103" s="12"/>
      <c r="B103" s="12"/>
      <c r="C103" s="12"/>
      <c r="D103" s="75"/>
      <c r="E103" s="296"/>
      <c r="F103" s="21"/>
      <c r="G103" s="65"/>
      <c r="H103" s="285"/>
      <c r="I103" s="286"/>
      <c r="J103" s="193" t="s">
        <v>248</v>
      </c>
      <c r="K103" s="189"/>
      <c r="L103" s="44" t="s">
        <v>257</v>
      </c>
      <c r="M103" s="30" t="s">
        <v>142</v>
      </c>
      <c r="N103" s="147">
        <f>IF($L$8="Fully Wet Surface",(N58+N59)/2,(N96+N59)/2)</f>
        <v>0</v>
      </c>
      <c r="O103" s="147">
        <f t="shared" ref="O103" si="12">IF($L$8="Fully Wet Surface",(O58+O59)/2,(O96+O59)/2)</f>
        <v>0</v>
      </c>
    </row>
    <row r="104" spans="1:15" ht="33" customHeight="1" x14ac:dyDescent="0.25">
      <c r="A104" s="10">
        <v>55</v>
      </c>
      <c r="B104" s="10">
        <v>55</v>
      </c>
      <c r="C104" s="10">
        <v>53</v>
      </c>
      <c r="D104" s="108">
        <v>53</v>
      </c>
      <c r="E104" s="296"/>
      <c r="F104" s="11">
        <v>71</v>
      </c>
      <c r="G104" s="67" t="s">
        <v>258</v>
      </c>
      <c r="H104" s="193" t="s">
        <v>85</v>
      </c>
      <c r="I104" s="188"/>
      <c r="J104" s="188"/>
      <c r="K104" s="189"/>
      <c r="L104" s="44" t="s">
        <v>259</v>
      </c>
      <c r="M104" s="18" t="s">
        <v>32</v>
      </c>
      <c r="N104" s="148">
        <f>IF($L$6="Choose Coil Type",0,(N91+N45)/2)</f>
        <v>0</v>
      </c>
      <c r="O104" s="147">
        <f>IF($L$6="Choose Coil Type",0,(O91+O45)/2)</f>
        <v>0</v>
      </c>
    </row>
    <row r="105" spans="1:15" ht="44.25" customHeight="1" x14ac:dyDescent="0.25">
      <c r="A105" s="9">
        <v>56</v>
      </c>
      <c r="B105" s="9">
        <v>56</v>
      </c>
      <c r="C105" s="9">
        <v>54</v>
      </c>
      <c r="D105" s="109">
        <v>54</v>
      </c>
      <c r="E105" s="296"/>
      <c r="F105" s="6">
        <v>72</v>
      </c>
      <c r="G105" s="64" t="s">
        <v>260</v>
      </c>
      <c r="H105" s="194" t="s">
        <v>357</v>
      </c>
      <c r="I105" s="196"/>
      <c r="J105" s="196"/>
      <c r="K105" s="195"/>
      <c r="L105" s="16"/>
      <c r="M105" s="30" t="s">
        <v>142</v>
      </c>
      <c r="N105" s="149"/>
      <c r="O105" s="149"/>
    </row>
    <row r="106" spans="1:15" ht="45" customHeight="1" x14ac:dyDescent="0.25">
      <c r="A106" s="9">
        <v>57</v>
      </c>
      <c r="B106" s="9">
        <v>57</v>
      </c>
      <c r="C106" s="9">
        <v>55</v>
      </c>
      <c r="D106" s="109">
        <v>55</v>
      </c>
      <c r="E106" s="296"/>
      <c r="F106" s="6">
        <v>73</v>
      </c>
      <c r="G106" s="2" t="s">
        <v>50</v>
      </c>
      <c r="H106" s="193" t="s">
        <v>358</v>
      </c>
      <c r="I106" s="188"/>
      <c r="J106" s="188"/>
      <c r="K106" s="189"/>
      <c r="L106" s="16"/>
      <c r="M106" s="32" t="s">
        <v>71</v>
      </c>
      <c r="N106" s="149"/>
      <c r="O106" s="149"/>
    </row>
    <row r="107" spans="1:15" ht="25.5" customHeight="1" x14ac:dyDescent="0.25">
      <c r="A107" s="9">
        <v>58</v>
      </c>
      <c r="B107" s="9">
        <v>58</v>
      </c>
      <c r="C107" s="9">
        <v>56</v>
      </c>
      <c r="D107" s="109">
        <v>56</v>
      </c>
      <c r="E107" s="296"/>
      <c r="F107" s="6">
        <v>74</v>
      </c>
      <c r="G107" s="64" t="s">
        <v>125</v>
      </c>
      <c r="H107" s="193" t="s">
        <v>51</v>
      </c>
      <c r="I107" s="188"/>
      <c r="J107" s="188"/>
      <c r="K107" s="189"/>
      <c r="L107" s="36" t="s">
        <v>262</v>
      </c>
      <c r="M107" s="3" t="s">
        <v>183</v>
      </c>
      <c r="N107" s="147">
        <f>IF(N78=0,0,N106/N78)</f>
        <v>0</v>
      </c>
      <c r="O107" s="147">
        <f>IF(O78=0,0,O106/O78)</f>
        <v>0</v>
      </c>
    </row>
    <row r="108" spans="1:15" ht="33" customHeight="1" x14ac:dyDescent="0.25">
      <c r="A108" s="9">
        <v>59</v>
      </c>
      <c r="B108" s="9">
        <v>59</v>
      </c>
      <c r="C108" s="9">
        <v>57</v>
      </c>
      <c r="D108" s="109">
        <v>57</v>
      </c>
      <c r="E108" s="296"/>
      <c r="F108" s="6">
        <v>75</v>
      </c>
      <c r="G108" s="68" t="s">
        <v>126</v>
      </c>
      <c r="H108" s="193" t="s">
        <v>368</v>
      </c>
      <c r="I108" s="188"/>
      <c r="J108" s="188"/>
      <c r="K108" s="189"/>
      <c r="L108" s="16"/>
      <c r="M108" s="3" t="s">
        <v>182</v>
      </c>
      <c r="N108" s="150"/>
      <c r="O108" s="150"/>
    </row>
    <row r="109" spans="1:15" ht="45" customHeight="1" x14ac:dyDescent="0.25">
      <c r="A109" s="10">
        <v>60</v>
      </c>
      <c r="B109" s="10">
        <v>60</v>
      </c>
      <c r="C109" s="10">
        <v>58</v>
      </c>
      <c r="D109" s="108">
        <v>58</v>
      </c>
      <c r="E109" s="296"/>
      <c r="F109" s="11">
        <v>76</v>
      </c>
      <c r="G109" s="67" t="s">
        <v>49</v>
      </c>
      <c r="H109" s="190" t="s">
        <v>263</v>
      </c>
      <c r="I109" s="191"/>
      <c r="J109" s="191"/>
      <c r="K109" s="192"/>
      <c r="L109" s="115" t="s">
        <v>271</v>
      </c>
      <c r="M109" s="3" t="s">
        <v>184</v>
      </c>
      <c r="N109" s="147">
        <f>IF(N78=0,0,IF($L$6="Cold Water",(N75+N108)/(0.243*N78), (N76+N108)/(0.243*N78)))</f>
        <v>0</v>
      </c>
      <c r="O109" s="147">
        <f>IF(O78=0,0,IF($L$6="Cold Water",(O75+O108)/(0.243*O78), (O76+O108)/(0.243*O78)))</f>
        <v>0</v>
      </c>
    </row>
    <row r="110" spans="1:15" ht="21.95" customHeight="1" x14ac:dyDescent="0.25">
      <c r="A110" s="10">
        <v>61</v>
      </c>
      <c r="B110" s="10">
        <v>61</v>
      </c>
      <c r="C110" s="10">
        <v>59</v>
      </c>
      <c r="D110" s="108">
        <v>59</v>
      </c>
      <c r="E110" s="296"/>
      <c r="F110" s="11">
        <v>77</v>
      </c>
      <c r="G110" s="67" t="s">
        <v>127</v>
      </c>
      <c r="H110" s="241" t="s">
        <v>339</v>
      </c>
      <c r="I110" s="270"/>
      <c r="J110" s="270"/>
      <c r="K110" s="242"/>
      <c r="L110" s="115" t="s">
        <v>338</v>
      </c>
      <c r="M110" s="18" t="s">
        <v>32</v>
      </c>
      <c r="N110" s="147">
        <f>IF($L$6="Choose Coil Type",0,IF(N111&gt;N39,N39,N111))</f>
        <v>0</v>
      </c>
      <c r="O110" s="147">
        <f>IF($L$6="Choose Coil Type",0,IF(O111&gt;O39,O39,O111))</f>
        <v>0</v>
      </c>
    </row>
    <row r="111" spans="1:15" ht="20.100000000000001" customHeight="1" x14ac:dyDescent="0.25">
      <c r="A111" s="12"/>
      <c r="B111" s="12"/>
      <c r="C111" s="12"/>
      <c r="D111" s="75"/>
      <c r="E111" s="296"/>
      <c r="F111" s="21"/>
      <c r="G111" s="65"/>
      <c r="H111" s="203"/>
      <c r="I111" s="204"/>
      <c r="J111" s="241" t="s">
        <v>337</v>
      </c>
      <c r="K111" s="242"/>
      <c r="L111" s="168" t="s">
        <v>335</v>
      </c>
      <c r="M111" s="18"/>
      <c r="N111" s="147">
        <f>IF($L$6="Choose Coil Type",0,(IF($L$6=$J112,N112,IF($L$6="Volatile Refrigerant (Thermal Counterflow)",N113,N114))))</f>
        <v>0</v>
      </c>
      <c r="O111" s="147">
        <f>IF($L$6="Choose Coil Type",0,(IF($L$6=$J112,O112,IF($L$6="Volatile Refrigerant (Thermal Counterflow)",O113,O114))))</f>
        <v>0</v>
      </c>
    </row>
    <row r="112" spans="1:15" ht="18.75" customHeight="1" x14ac:dyDescent="0.25">
      <c r="A112" s="12"/>
      <c r="B112" s="12"/>
      <c r="C112" s="12"/>
      <c r="D112" s="75"/>
      <c r="E112" s="296"/>
      <c r="F112" s="21"/>
      <c r="G112" s="65"/>
      <c r="H112" s="243"/>
      <c r="I112" s="206"/>
      <c r="J112" s="188" t="s">
        <v>235</v>
      </c>
      <c r="K112" s="189"/>
      <c r="L112" s="97" t="s">
        <v>267</v>
      </c>
      <c r="M112" s="18" t="s">
        <v>32</v>
      </c>
      <c r="N112" s="147">
        <f>IF(N109+N83=0,0,(N86-N48+(N83*N39)+(N109*N90))/(N109+N83))</f>
        <v>0</v>
      </c>
      <c r="O112" s="147">
        <f>IF(O109+O83=0,0,(O86-O48+(O83*O39)+(O109*O90))/(O109+O83))</f>
        <v>0</v>
      </c>
    </row>
    <row r="113" spans="1:63" ht="27.95" customHeight="1" x14ac:dyDescent="0.25">
      <c r="A113" s="75"/>
      <c r="B113" s="75"/>
      <c r="C113" s="75"/>
      <c r="D113" s="12"/>
      <c r="E113" s="304"/>
      <c r="F113" s="21"/>
      <c r="G113" s="181"/>
      <c r="H113" s="243"/>
      <c r="I113" s="206"/>
      <c r="J113" s="196" t="s">
        <v>240</v>
      </c>
      <c r="K113" s="195"/>
      <c r="L113" s="97" t="s">
        <v>268</v>
      </c>
      <c r="M113" s="18" t="s">
        <v>32</v>
      </c>
      <c r="N113" s="147">
        <f>IF(N109+N83=0,0,(N86-N59+(N83*N39)+(N109*N90))/(N109+N83))</f>
        <v>0</v>
      </c>
      <c r="O113" s="147">
        <f>IF(O109+O83=0,0,(O86-O59+(O83*O39)+(O109*O90))/(O109+O83))</f>
        <v>0</v>
      </c>
    </row>
    <row r="114" spans="1:63" ht="27.95" customHeight="1" x14ac:dyDescent="0.25">
      <c r="A114" s="26"/>
      <c r="B114" s="26"/>
      <c r="C114" s="26"/>
      <c r="D114" s="26"/>
      <c r="E114" s="296"/>
      <c r="F114" s="21"/>
      <c r="G114" s="68"/>
      <c r="H114" s="207"/>
      <c r="I114" s="208"/>
      <c r="J114" s="193" t="s">
        <v>248</v>
      </c>
      <c r="K114" s="189"/>
      <c r="L114" s="97" t="s">
        <v>269</v>
      </c>
      <c r="M114" s="18" t="s">
        <v>32</v>
      </c>
      <c r="N114" s="147">
        <f>IF(N109-N83=0,0,(N86-N58-(N83*N39)+(N109*N90))/(N109-N83))</f>
        <v>0</v>
      </c>
      <c r="O114" s="147">
        <f>IF(O109-O83=0,0,(O86-O58-(O83*O39)+(O109*O90))/(O109-O83))</f>
        <v>0</v>
      </c>
    </row>
    <row r="115" spans="1:63" ht="27.95" customHeight="1" x14ac:dyDescent="0.25">
      <c r="A115" s="75">
        <v>62</v>
      </c>
      <c r="B115" s="75">
        <v>62</v>
      </c>
      <c r="C115" s="75">
        <v>60</v>
      </c>
      <c r="D115" s="12">
        <v>60</v>
      </c>
      <c r="E115" s="304"/>
      <c r="F115" s="11"/>
      <c r="G115" s="92" t="s">
        <v>273</v>
      </c>
      <c r="H115" s="310" t="s">
        <v>270</v>
      </c>
      <c r="I115" s="310"/>
      <c r="J115" s="310"/>
      <c r="K115" s="311"/>
      <c r="L115" s="138" t="s">
        <v>272</v>
      </c>
      <c r="M115" s="78" t="s">
        <v>32</v>
      </c>
      <c r="N115" s="147">
        <f>0.5*(N39 + N45   )</f>
        <v>0</v>
      </c>
      <c r="O115" s="147">
        <f>0.5*(O39 + O45   )</f>
        <v>0</v>
      </c>
    </row>
    <row r="116" spans="1:63" ht="69.95" customHeight="1" x14ac:dyDescent="0.25">
      <c r="A116" s="26"/>
      <c r="B116" s="26"/>
      <c r="C116" s="26"/>
      <c r="D116" s="106"/>
      <c r="E116" s="296"/>
      <c r="F116" s="6">
        <v>78</v>
      </c>
      <c r="G116" s="4"/>
      <c r="H116" s="197" t="s">
        <v>316</v>
      </c>
      <c r="I116" s="198"/>
      <c r="J116" s="198"/>
      <c r="K116" s="199"/>
      <c r="L116"/>
      <c r="M116" s="7" t="s">
        <v>304</v>
      </c>
      <c r="N116" s="158"/>
      <c r="O116" s="158"/>
    </row>
    <row r="117" spans="1:63" ht="18.75" customHeight="1" x14ac:dyDescent="0.25">
      <c r="A117" s="9">
        <v>63</v>
      </c>
      <c r="B117" s="9"/>
      <c r="C117" s="9">
        <v>61</v>
      </c>
      <c r="D117" s="109"/>
      <c r="E117" s="296"/>
      <c r="F117" s="7">
        <v>79</v>
      </c>
      <c r="G117" s="92" t="s">
        <v>318</v>
      </c>
      <c r="H117" s="200" t="s">
        <v>327</v>
      </c>
      <c r="I117" s="201"/>
      <c r="J117" s="201"/>
      <c r="K117" s="202"/>
      <c r="L117" s="163" t="s">
        <v>319</v>
      </c>
      <c r="M117" s="76" t="s">
        <v>185</v>
      </c>
      <c r="N117" s="147">
        <f t="shared" ref="N117:O117" si="13">IF($L$8 = "Fully Wet Surface"," ",IF(N115-N110&gt; 0,(N30 - (0.5*N46)/(0.243*N40)),0))</f>
        <v>0</v>
      </c>
      <c r="O117" s="147">
        <f t="shared" si="13"/>
        <v>0</v>
      </c>
    </row>
    <row r="118" spans="1:63" ht="18.75" customHeight="1" x14ac:dyDescent="0.25">
      <c r="A118" s="9">
        <v>64</v>
      </c>
      <c r="B118" s="9"/>
      <c r="C118" s="9">
        <v>62</v>
      </c>
      <c r="D118" s="109"/>
      <c r="E118" s="296"/>
      <c r="F118" s="7">
        <v>80</v>
      </c>
      <c r="G118" s="73" t="s">
        <v>320</v>
      </c>
      <c r="H118" s="197" t="s">
        <v>86</v>
      </c>
      <c r="I118" s="198"/>
      <c r="J118" s="198"/>
      <c r="K118" s="199"/>
      <c r="L118" s="164" t="s">
        <v>321</v>
      </c>
      <c r="M118" s="76" t="s">
        <v>185</v>
      </c>
      <c r="N118" s="147">
        <f t="shared" ref="N118:O118" si="14">IF($L$8 = "Fully Wet Surface"," ",IF(N115-N110&gt;0,(N61 + (N117 - N61)*N75/(N77 + N79 + N75)),0))</f>
        <v>0</v>
      </c>
      <c r="O118" s="147">
        <f t="shared" si="14"/>
        <v>0</v>
      </c>
    </row>
    <row r="119" spans="1:63" ht="18.75" customHeight="1" x14ac:dyDescent="0.25">
      <c r="A119" s="9">
        <v>65</v>
      </c>
      <c r="B119" s="9">
        <v>63</v>
      </c>
      <c r="C119" s="9"/>
      <c r="D119" s="109"/>
      <c r="E119" s="296"/>
      <c r="F119" s="7">
        <v>81</v>
      </c>
      <c r="G119" s="73" t="s">
        <v>322</v>
      </c>
      <c r="H119" s="197" t="s">
        <v>328</v>
      </c>
      <c r="I119" s="198"/>
      <c r="J119" s="198"/>
      <c r="K119" s="199"/>
      <c r="L119" s="165" t="s">
        <v>323</v>
      </c>
      <c r="M119" s="76" t="s">
        <v>185</v>
      </c>
      <c r="N119" s="149"/>
      <c r="O119" s="149"/>
    </row>
    <row r="120" spans="1:63" ht="18.75" customHeight="1" x14ac:dyDescent="0.25">
      <c r="A120" s="12">
        <v>66</v>
      </c>
      <c r="B120" s="12">
        <v>64</v>
      </c>
      <c r="C120" s="12"/>
      <c r="D120" s="75"/>
      <c r="E120" s="296"/>
      <c r="F120" s="21">
        <v>82</v>
      </c>
      <c r="G120" s="73" t="s">
        <v>320</v>
      </c>
      <c r="H120" s="197" t="s">
        <v>86</v>
      </c>
      <c r="I120" s="198"/>
      <c r="J120" s="198"/>
      <c r="K120" s="199"/>
      <c r="L120" s="164" t="s">
        <v>324</v>
      </c>
      <c r="M120" s="76" t="s">
        <v>185</v>
      </c>
      <c r="N120" s="147">
        <f t="shared" ref="N120:O120" si="15">IF(N108 + N75 = 0,0,IF(N115-N110&gt;0,0,N61 + (N119 - N61)*N75/( N108 + N75)))</f>
        <v>0</v>
      </c>
      <c r="O120" s="147">
        <f t="shared" si="15"/>
        <v>0</v>
      </c>
    </row>
    <row r="121" spans="1:63" s="15" customFormat="1" ht="26.25" customHeight="1" x14ac:dyDescent="0.25">
      <c r="A121" s="13">
        <v>67</v>
      </c>
      <c r="B121" s="13">
        <v>65</v>
      </c>
      <c r="C121" s="14" t="s">
        <v>71</v>
      </c>
      <c r="D121" s="110" t="s">
        <v>71</v>
      </c>
      <c r="E121" s="296"/>
      <c r="F121" s="13">
        <v>83</v>
      </c>
      <c r="G121" s="74" t="s">
        <v>275</v>
      </c>
      <c r="H121" s="60" t="s">
        <v>317</v>
      </c>
      <c r="I121" s="61"/>
      <c r="J121" s="61"/>
      <c r="K121" s="62"/>
      <c r="L121" s="45"/>
      <c r="M121" s="30" t="s">
        <v>179</v>
      </c>
      <c r="N121" s="145"/>
      <c r="O121" s="145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</row>
    <row r="122" spans="1:63" s="15" customFormat="1" ht="45.95" customHeight="1" x14ac:dyDescent="0.25">
      <c r="A122" s="9">
        <v>68</v>
      </c>
      <c r="B122" s="9">
        <v>66</v>
      </c>
      <c r="C122" s="8" t="s">
        <v>71</v>
      </c>
      <c r="D122" s="172" t="s">
        <v>71</v>
      </c>
      <c r="E122" s="296"/>
      <c r="F122" s="9">
        <v>84</v>
      </c>
      <c r="G122" s="139" t="s">
        <v>128</v>
      </c>
      <c r="H122" s="197" t="s">
        <v>325</v>
      </c>
      <c r="I122" s="198"/>
      <c r="J122" s="198"/>
      <c r="K122" s="199"/>
      <c r="L122" s="38"/>
      <c r="M122" s="3"/>
      <c r="N122" s="144">
        <f>IF(N64 = 0,0,(N121/N64)^0.14)</f>
        <v>0</v>
      </c>
      <c r="O122" s="144">
        <f>IF(O64 = 0,0,(O121/O64)^0.14)</f>
        <v>0</v>
      </c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</row>
    <row r="123" spans="1:63" ht="18.75" customHeight="1" x14ac:dyDescent="0.25">
      <c r="A123" s="10">
        <v>69</v>
      </c>
      <c r="B123" s="27" t="s">
        <v>71</v>
      </c>
      <c r="C123" s="10">
        <v>64</v>
      </c>
      <c r="D123" s="111" t="s">
        <v>71</v>
      </c>
      <c r="E123" s="296"/>
      <c r="F123" s="7">
        <v>85</v>
      </c>
      <c r="G123" s="67" t="s">
        <v>129</v>
      </c>
      <c r="H123" s="241" t="s">
        <v>52</v>
      </c>
      <c r="I123" s="270"/>
      <c r="J123" s="270"/>
      <c r="K123" s="242"/>
      <c r="L123" s="36" t="s">
        <v>157</v>
      </c>
      <c r="M123" s="79" t="s">
        <v>80</v>
      </c>
      <c r="N123" s="151">
        <f>N40*(N39-N110)</f>
        <v>0</v>
      </c>
      <c r="O123" s="151">
        <f>O40*(O39-O110)</f>
        <v>0</v>
      </c>
    </row>
    <row r="124" spans="1:63" ht="18.75" customHeight="1" x14ac:dyDescent="0.25">
      <c r="A124" s="10">
        <v>70</v>
      </c>
      <c r="B124" s="27" t="s">
        <v>71</v>
      </c>
      <c r="C124" s="10">
        <v>65</v>
      </c>
      <c r="D124" s="111">
        <v>61</v>
      </c>
      <c r="E124" s="296"/>
      <c r="F124" s="11">
        <v>86</v>
      </c>
      <c r="G124" s="94" t="s">
        <v>281</v>
      </c>
      <c r="H124" s="193" t="s">
        <v>53</v>
      </c>
      <c r="I124" s="188"/>
      <c r="J124" s="188"/>
      <c r="K124" s="189"/>
      <c r="L124" s="140" t="s">
        <v>280</v>
      </c>
      <c r="M124" s="30" t="s">
        <v>142</v>
      </c>
      <c r="N124" s="147">
        <f>IF(N40=0,0,(N30-(N123/(0.243*N40))))</f>
        <v>0</v>
      </c>
      <c r="O124" s="147">
        <f>IF(O40=0,0,(O30-(O123/(0.243*O40))))</f>
        <v>0</v>
      </c>
    </row>
    <row r="125" spans="1:63" ht="39.950000000000003" customHeight="1" x14ac:dyDescent="0.25">
      <c r="A125" s="10">
        <v>71</v>
      </c>
      <c r="B125" s="27" t="s">
        <v>71</v>
      </c>
      <c r="C125" s="10">
        <v>66</v>
      </c>
      <c r="D125" s="111" t="s">
        <v>71</v>
      </c>
      <c r="E125" s="296"/>
      <c r="F125" s="11">
        <v>87</v>
      </c>
      <c r="G125" s="105" t="s">
        <v>278</v>
      </c>
      <c r="H125" s="193" t="s">
        <v>279</v>
      </c>
      <c r="I125" s="188"/>
      <c r="J125" s="188"/>
      <c r="K125" s="189"/>
      <c r="L125" s="16"/>
      <c r="M125" s="30" t="s">
        <v>142</v>
      </c>
      <c r="N125" s="147">
        <f>IF($L$6="Choose Coil Type",0,(IF($L$6=$J126,N126,IF($L$6="Volatile Refrigerant (Thermal Counterflow)",N127,N128))))</f>
        <v>0</v>
      </c>
      <c r="O125" s="147">
        <f>IF($L$6="Choose Coil Type",0,(IF($L$6=$J126,O126,IF($L$6="Volatile Refrigerant (Thermal Counterflow)",O127,O128))))</f>
        <v>0</v>
      </c>
    </row>
    <row r="126" spans="1:63" ht="18.75" customHeight="1" x14ac:dyDescent="0.25">
      <c r="A126" s="12"/>
      <c r="B126" s="12"/>
      <c r="C126" s="12"/>
      <c r="D126" s="75"/>
      <c r="E126" s="296"/>
      <c r="F126" s="21"/>
      <c r="G126" s="65"/>
      <c r="H126" s="203"/>
      <c r="I126" s="204"/>
      <c r="J126" s="193" t="s">
        <v>235</v>
      </c>
      <c r="K126" s="189"/>
      <c r="L126" s="97" t="s">
        <v>276</v>
      </c>
      <c r="M126" s="30" t="s">
        <v>142</v>
      </c>
      <c r="N126" s="147">
        <f t="shared" ref="N126:O126" si="16">IF($L6="Volatile Refrigerant (Thermal Counterflow)",0,IF($L6="Volatile Refrigerant (Thermal Parallel Flow)",0,N48-(N83*(N39-N110))))</f>
        <v>0</v>
      </c>
      <c r="O126" s="147">
        <f t="shared" si="16"/>
        <v>0</v>
      </c>
    </row>
    <row r="127" spans="1:63" ht="27.95" customHeight="1" x14ac:dyDescent="0.25">
      <c r="A127" s="75"/>
      <c r="B127" s="75"/>
      <c r="C127" s="75"/>
      <c r="D127" s="12"/>
      <c r="E127" s="304"/>
      <c r="F127" s="21"/>
      <c r="G127" s="181"/>
      <c r="H127" s="205"/>
      <c r="I127" s="206"/>
      <c r="J127" s="194" t="s">
        <v>240</v>
      </c>
      <c r="K127" s="195"/>
      <c r="L127" s="97" t="s">
        <v>277</v>
      </c>
      <c r="M127" s="30" t="s">
        <v>142</v>
      </c>
      <c r="N127" s="147">
        <f>IF($L6="Cold Water",0,N59-(N83*(N39-N110)))</f>
        <v>0</v>
      </c>
      <c r="O127" s="147">
        <f t="shared" ref="O127" si="17">IF($L6="Cold Water",0,O59-(O83*(O39-O110)))</f>
        <v>0</v>
      </c>
    </row>
    <row r="128" spans="1:63" ht="27.95" customHeight="1" x14ac:dyDescent="0.25">
      <c r="A128" s="12"/>
      <c r="B128" s="12"/>
      <c r="C128" s="12"/>
      <c r="D128" s="75"/>
      <c r="E128" s="296"/>
      <c r="F128" s="21"/>
      <c r="G128" s="65"/>
      <c r="H128" s="207"/>
      <c r="I128" s="208"/>
      <c r="J128" s="193" t="s">
        <v>248</v>
      </c>
      <c r="K128" s="189"/>
      <c r="L128" s="97" t="s">
        <v>282</v>
      </c>
      <c r="M128" s="30" t="s">
        <v>142</v>
      </c>
      <c r="N128" s="147">
        <f>IF($L6="Cold Water",0,N58 + (N83*(N39-N110)))</f>
        <v>0</v>
      </c>
      <c r="O128" s="147">
        <f t="shared" ref="O128" si="18">IF($L6="Cold Water",0,O58 + (O83*(O39-O110)))</f>
        <v>0</v>
      </c>
    </row>
    <row r="129" spans="1:15" ht="36" customHeight="1" x14ac:dyDescent="0.25">
      <c r="A129" s="10">
        <v>72</v>
      </c>
      <c r="B129" s="27" t="s">
        <v>71</v>
      </c>
      <c r="C129" s="10">
        <v>67</v>
      </c>
      <c r="D129" s="111" t="s">
        <v>71</v>
      </c>
      <c r="E129" s="296"/>
      <c r="F129" s="11">
        <v>88</v>
      </c>
      <c r="G129" s="67" t="s">
        <v>130</v>
      </c>
      <c r="H129" s="193" t="s">
        <v>55</v>
      </c>
      <c r="I129" s="188"/>
      <c r="J129" s="188"/>
      <c r="K129" s="189"/>
      <c r="L129" s="16"/>
      <c r="M129" s="32" t="s">
        <v>71</v>
      </c>
      <c r="N129" s="147">
        <f>IF(N123=0,0,(IF($L$6=$J130,N130,IF($L$6="Volatile Refrigerant (Thermal Counterflow)",N131,N132))))</f>
        <v>0</v>
      </c>
      <c r="O129" s="147">
        <f>IF(O123=0,0,(IF($L$6=$J130,O130,IF($L$6="Volatile Refrigerant (Thermal Counterflow)",O131,O132))))</f>
        <v>0</v>
      </c>
    </row>
    <row r="130" spans="1:15" ht="30" customHeight="1" x14ac:dyDescent="0.25">
      <c r="A130" s="12"/>
      <c r="B130" s="12"/>
      <c r="C130" s="12"/>
      <c r="D130" s="75"/>
      <c r="E130" s="296"/>
      <c r="F130" s="21"/>
      <c r="G130" s="65"/>
      <c r="H130" s="203"/>
      <c r="I130" s="204"/>
      <c r="J130" s="193" t="s">
        <v>235</v>
      </c>
      <c r="K130" s="189"/>
      <c r="L130" s="97" t="s">
        <v>283</v>
      </c>
      <c r="M130" s="30" t="s">
        <v>142</v>
      </c>
      <c r="N130" s="147">
        <f>IF(N$123=0,0,((N$30-N$48)-(N$124-N$125))/(LN((N$30-N$48)/(N$124-N$125))))</f>
        <v>0</v>
      </c>
      <c r="O130" s="147">
        <f>IF(O$123=0,0,((O$30-O$48)-(O$124-O$125))/(LN((O$30-O$48)/(O$124-O$125))))</f>
        <v>0</v>
      </c>
    </row>
    <row r="131" spans="1:15" ht="30" customHeight="1" x14ac:dyDescent="0.25">
      <c r="A131" s="75"/>
      <c r="B131" s="75"/>
      <c r="C131" s="75"/>
      <c r="D131" s="12"/>
      <c r="E131" s="304"/>
      <c r="F131" s="141"/>
      <c r="G131" s="65"/>
      <c r="H131" s="205"/>
      <c r="I131" s="206"/>
      <c r="J131" s="194" t="s">
        <v>240</v>
      </c>
      <c r="K131" s="195"/>
      <c r="L131" s="97" t="s">
        <v>284</v>
      </c>
      <c r="M131" s="30" t="s">
        <v>142</v>
      </c>
      <c r="N131" s="147">
        <f>IF(N$123=0,0,((N$30-N$59)-(N$124-N$125))/(LN((N$30-N$59)/(N$124-N$125))))</f>
        <v>0</v>
      </c>
      <c r="O131" s="147">
        <f t="shared" ref="O131" si="19">IF(O$123=0,0,((O$30-O$59)-(O$124-O$125))/(LN((O$30-O$59)/(O$124-O$125))))</f>
        <v>0</v>
      </c>
    </row>
    <row r="132" spans="1:15" ht="30" customHeight="1" x14ac:dyDescent="0.25">
      <c r="A132" s="26"/>
      <c r="B132" s="26"/>
      <c r="C132" s="26"/>
      <c r="D132" s="106"/>
      <c r="E132" s="296"/>
      <c r="F132" s="21"/>
      <c r="G132" s="65"/>
      <c r="H132" s="207"/>
      <c r="I132" s="208"/>
      <c r="J132" s="193" t="s">
        <v>248</v>
      </c>
      <c r="K132" s="189"/>
      <c r="L132" s="97" t="s">
        <v>285</v>
      </c>
      <c r="M132" s="30" t="s">
        <v>142</v>
      </c>
      <c r="N132" s="147">
        <f>IF(N$123=0,0,((N$30-N$58)-(N$124-N$125))/(LN((N$30-N$58)/(N$124-N$125))))</f>
        <v>0</v>
      </c>
      <c r="O132" s="147">
        <f t="shared" ref="O132" si="20">IF(O$123=0,0,((O$30-O$58)-(O$124-O$125))/(LN((O$30-O$58)/(O$124-O$125))))</f>
        <v>0</v>
      </c>
    </row>
    <row r="133" spans="1:15" ht="27.95" customHeight="1" x14ac:dyDescent="0.25">
      <c r="A133" s="26">
        <v>73</v>
      </c>
      <c r="B133" s="28" t="s">
        <v>71</v>
      </c>
      <c r="C133" s="26">
        <v>68</v>
      </c>
      <c r="D133" s="112" t="s">
        <v>71</v>
      </c>
      <c r="E133" s="296"/>
      <c r="F133" s="21">
        <v>89</v>
      </c>
      <c r="G133" s="65" t="s">
        <v>131</v>
      </c>
      <c r="H133" s="193" t="s">
        <v>56</v>
      </c>
      <c r="I133" s="188"/>
      <c r="J133" s="188"/>
      <c r="K133" s="189"/>
      <c r="L133" s="115" t="s">
        <v>286</v>
      </c>
      <c r="M133" s="30" t="s">
        <v>141</v>
      </c>
      <c r="N133" s="152">
        <f>IF(N123=0,0,IF($L$6 = "Cold Water",(N123*(N77 + N75 + N79))/N129, (N123*(N77 + N76 + N79))/N129))</f>
        <v>0</v>
      </c>
      <c r="O133" s="152">
        <f>IF(O123=0,0,IF($L$6 = "Cold Water",(O123*(O77 + O75 + O79))/O129, (O123*(O77 + O76 + O79))/O129))</f>
        <v>0</v>
      </c>
    </row>
    <row r="134" spans="1:15" ht="18.75" customHeight="1" x14ac:dyDescent="0.25">
      <c r="A134" s="10">
        <v>74</v>
      </c>
      <c r="B134" s="10">
        <v>67</v>
      </c>
      <c r="C134" s="10">
        <v>69</v>
      </c>
      <c r="D134" s="108">
        <v>62</v>
      </c>
      <c r="E134" s="296"/>
      <c r="F134" s="11">
        <v>90</v>
      </c>
      <c r="G134" s="67" t="s">
        <v>132</v>
      </c>
      <c r="H134" s="193" t="s">
        <v>57</v>
      </c>
      <c r="I134" s="188"/>
      <c r="J134" s="188"/>
      <c r="K134" s="189"/>
      <c r="L134" s="137" t="s">
        <v>287</v>
      </c>
      <c r="M134" s="76" t="s">
        <v>80</v>
      </c>
      <c r="N134" s="151">
        <f>IF($L$8 = "Fully Wet Surface",N46,N46-N123)</f>
        <v>0</v>
      </c>
      <c r="O134" s="151">
        <f>IF($L$8 = "Fully Wet Surface",O46,O46-O123)</f>
        <v>0</v>
      </c>
    </row>
    <row r="135" spans="1:15" ht="93.95" customHeight="1" x14ac:dyDescent="0.25">
      <c r="A135" s="9">
        <v>75</v>
      </c>
      <c r="B135" s="9">
        <v>68</v>
      </c>
      <c r="C135" s="9">
        <v>70</v>
      </c>
      <c r="D135" s="109">
        <v>63</v>
      </c>
      <c r="E135" s="296"/>
      <c r="F135" s="6">
        <v>91</v>
      </c>
      <c r="G135" s="2" t="s">
        <v>348</v>
      </c>
      <c r="H135" s="197" t="s">
        <v>359</v>
      </c>
      <c r="I135" s="198"/>
      <c r="J135" s="198"/>
      <c r="K135" s="198"/>
      <c r="L135" s="199"/>
      <c r="M135" s="30" t="s">
        <v>142</v>
      </c>
      <c r="N135" s="149"/>
      <c r="O135" s="149"/>
    </row>
    <row r="136" spans="1:15" ht="68.099999999999994" customHeight="1" x14ac:dyDescent="0.25">
      <c r="A136" s="9">
        <v>76</v>
      </c>
      <c r="B136" s="9">
        <v>69</v>
      </c>
      <c r="C136" s="9">
        <v>71</v>
      </c>
      <c r="D136" s="109">
        <v>64</v>
      </c>
      <c r="E136" s="296"/>
      <c r="F136" s="6">
        <v>92</v>
      </c>
      <c r="G136" s="64" t="s">
        <v>133</v>
      </c>
      <c r="H136" s="241" t="s">
        <v>360</v>
      </c>
      <c r="I136" s="270"/>
      <c r="J136" s="270"/>
      <c r="K136" s="270"/>
      <c r="L136" s="242"/>
      <c r="M136" s="30" t="s">
        <v>142</v>
      </c>
      <c r="N136" s="149"/>
      <c r="O136" s="149"/>
    </row>
    <row r="137" spans="1:15" ht="69" customHeight="1" x14ac:dyDescent="0.25">
      <c r="A137" s="9">
        <v>77</v>
      </c>
      <c r="B137" s="9">
        <v>70</v>
      </c>
      <c r="C137" s="9">
        <v>72</v>
      </c>
      <c r="D137" s="109">
        <v>65</v>
      </c>
      <c r="E137" s="296"/>
      <c r="F137" s="6">
        <v>93</v>
      </c>
      <c r="G137" s="64" t="s">
        <v>134</v>
      </c>
      <c r="H137" s="194" t="s">
        <v>347</v>
      </c>
      <c r="I137" s="196"/>
      <c r="J137" s="196"/>
      <c r="K137" s="195"/>
      <c r="L137" s="16"/>
      <c r="M137" s="31" t="s">
        <v>32</v>
      </c>
      <c r="N137" s="149"/>
      <c r="O137" s="149"/>
    </row>
    <row r="138" spans="1:15" ht="18.75" customHeight="1" x14ac:dyDescent="0.25">
      <c r="A138" s="9">
        <v>78</v>
      </c>
      <c r="B138" s="9">
        <v>71</v>
      </c>
      <c r="C138" s="9">
        <v>73</v>
      </c>
      <c r="D138" s="109">
        <v>66</v>
      </c>
      <c r="E138" s="296"/>
      <c r="F138" s="21">
        <v>94</v>
      </c>
      <c r="G138" s="67" t="s">
        <v>135</v>
      </c>
      <c r="H138" s="190" t="s">
        <v>169</v>
      </c>
      <c r="I138" s="191"/>
      <c r="J138" s="191"/>
      <c r="K138" s="192"/>
      <c r="L138" s="16"/>
      <c r="M138" s="31" t="s">
        <v>32</v>
      </c>
      <c r="N138" s="149"/>
      <c r="O138" s="149"/>
    </row>
    <row r="139" spans="1:15" ht="32.25" customHeight="1" x14ac:dyDescent="0.25">
      <c r="A139" s="10">
        <v>79</v>
      </c>
      <c r="B139" s="10">
        <v>72</v>
      </c>
      <c r="C139" s="10">
        <v>74</v>
      </c>
      <c r="D139" s="108">
        <v>67</v>
      </c>
      <c r="E139" s="296"/>
      <c r="F139" s="11">
        <v>95</v>
      </c>
      <c r="G139" s="67" t="s">
        <v>136</v>
      </c>
      <c r="H139" s="190" t="s">
        <v>58</v>
      </c>
      <c r="I139" s="191"/>
      <c r="J139" s="188"/>
      <c r="K139" s="189"/>
      <c r="L139" s="46"/>
      <c r="M139" s="34" t="s">
        <v>32</v>
      </c>
      <c r="N139" s="153">
        <f t="shared" ref="N139:O139" si="21">IF($L$8= "Fully Wet Surface",N140,N141)</f>
        <v>0</v>
      </c>
      <c r="O139" s="153">
        <f t="shared" si="21"/>
        <v>0</v>
      </c>
    </row>
    <row r="140" spans="1:15" ht="30" customHeight="1" x14ac:dyDescent="0.25">
      <c r="A140" s="12"/>
      <c r="B140" s="12"/>
      <c r="C140" s="12"/>
      <c r="D140" s="75"/>
      <c r="E140" s="296"/>
      <c r="F140" s="22"/>
      <c r="G140" s="72"/>
      <c r="H140" s="135"/>
      <c r="I140" s="136"/>
      <c r="J140" s="188" t="s">
        <v>39</v>
      </c>
      <c r="K140" s="189"/>
      <c r="L140" s="142" t="s">
        <v>288</v>
      </c>
      <c r="M140" s="34" t="s">
        <v>32</v>
      </c>
      <c r="N140" s="118">
        <f t="shared" ref="N140:O140" si="22">IF((N45-N138) =0,0,((N39-N137)-(N45-N138))/(LN((N39-N137)/(N45-N138))))</f>
        <v>0</v>
      </c>
      <c r="O140" s="118">
        <f t="shared" si="22"/>
        <v>0</v>
      </c>
    </row>
    <row r="141" spans="1:15" ht="30" customHeight="1" x14ac:dyDescent="0.25">
      <c r="A141" s="26"/>
      <c r="B141" s="26"/>
      <c r="C141" s="26"/>
      <c r="D141" s="106"/>
      <c r="E141" s="296"/>
      <c r="F141" s="23"/>
      <c r="G141" s="68"/>
      <c r="J141" s="193" t="s">
        <v>38</v>
      </c>
      <c r="K141" s="189"/>
      <c r="L141" s="143" t="s">
        <v>289</v>
      </c>
      <c r="M141" s="34" t="s">
        <v>32</v>
      </c>
      <c r="N141" s="147">
        <f>IF((N45 - N138) = 0,0,((N110-N137)-(N45-N138))/(LN((N110-N137)/(N45-N138))))</f>
        <v>0</v>
      </c>
      <c r="O141" s="147">
        <f>IF((O45 - O138) = 0,0,((O110-O137)-(O45-O138))/(LN((O110-O137)/(O45-O138))))</f>
        <v>0</v>
      </c>
    </row>
    <row r="142" spans="1:15" ht="33" customHeight="1" x14ac:dyDescent="0.25">
      <c r="A142" s="12">
        <v>80</v>
      </c>
      <c r="B142" s="12">
        <v>73</v>
      </c>
      <c r="C142" s="12">
        <v>75</v>
      </c>
      <c r="D142" s="75">
        <v>68</v>
      </c>
      <c r="E142" s="296"/>
      <c r="F142" s="11">
        <v>96</v>
      </c>
      <c r="G142" s="67" t="s">
        <v>137</v>
      </c>
      <c r="H142" s="190" t="s">
        <v>69</v>
      </c>
      <c r="I142" s="191"/>
      <c r="J142" s="191"/>
      <c r="K142" s="192"/>
      <c r="L142" s="140" t="s">
        <v>290</v>
      </c>
      <c r="M142" s="34" t="s">
        <v>141</v>
      </c>
      <c r="N142" s="152">
        <f>IF(N139=0,0,0.243*N78*N134/N139)</f>
        <v>0</v>
      </c>
      <c r="O142" s="152">
        <f>IF(O139=0,0,0.243*O78*O134/O139)</f>
        <v>0</v>
      </c>
    </row>
    <row r="143" spans="1:15" ht="42" customHeight="1" x14ac:dyDescent="0.25">
      <c r="A143" s="10">
        <v>81</v>
      </c>
      <c r="B143" s="10">
        <v>74</v>
      </c>
      <c r="C143" s="10">
        <v>76</v>
      </c>
      <c r="D143" s="108">
        <v>69</v>
      </c>
      <c r="E143" s="296"/>
      <c r="F143" s="11">
        <v>97</v>
      </c>
      <c r="G143" s="67" t="s">
        <v>138</v>
      </c>
      <c r="H143" s="193" t="s">
        <v>303</v>
      </c>
      <c r="I143" s="188"/>
      <c r="J143" s="188"/>
      <c r="K143" s="189"/>
      <c r="L143" s="47"/>
      <c r="M143" s="34" t="s">
        <v>141</v>
      </c>
      <c r="N143" s="152">
        <f>IF($L$8 = "Fully Wet Surface",N142,N142 + N133)</f>
        <v>0</v>
      </c>
      <c r="O143" s="152">
        <f>IF($L$8 = "Fully Wet Surface",O142,O142 + O133)</f>
        <v>0</v>
      </c>
    </row>
    <row r="144" spans="1:15" ht="21.95" customHeight="1" x14ac:dyDescent="0.25">
      <c r="A144" s="9">
        <v>82</v>
      </c>
      <c r="B144" s="9">
        <v>75</v>
      </c>
      <c r="C144" s="9">
        <v>77</v>
      </c>
      <c r="D144" s="9">
        <v>70</v>
      </c>
      <c r="E144" s="5"/>
      <c r="F144" s="6">
        <v>98</v>
      </c>
      <c r="G144" s="64" t="s">
        <v>88</v>
      </c>
      <c r="H144" s="193" t="s">
        <v>301</v>
      </c>
      <c r="I144" s="188"/>
      <c r="J144" s="188"/>
      <c r="K144" s="189"/>
      <c r="L144" s="36" t="s">
        <v>302</v>
      </c>
      <c r="M144" s="17" t="s">
        <v>71</v>
      </c>
      <c r="N144" s="147">
        <f>IF(N15*N20=0,0,N143/(N15*N20))</f>
        <v>0</v>
      </c>
      <c r="O144" s="147">
        <f>IF(O15*O20=0,0,O143/(O15*O20))</f>
        <v>0</v>
      </c>
    </row>
    <row r="145" spans="1:15" ht="21.95" customHeight="1" x14ac:dyDescent="0.25">
      <c r="A145" s="9" t="s">
        <v>355</v>
      </c>
      <c r="B145" s="9" t="s">
        <v>356</v>
      </c>
      <c r="C145" s="9" t="s">
        <v>352</v>
      </c>
      <c r="D145" s="9" t="s">
        <v>353</v>
      </c>
      <c r="E145" s="5"/>
      <c r="F145" s="6">
        <v>99</v>
      </c>
      <c r="G145" s="64" t="s">
        <v>88</v>
      </c>
      <c r="H145" s="241" t="s">
        <v>344</v>
      </c>
      <c r="I145" s="270"/>
      <c r="J145" s="270"/>
      <c r="K145" s="242"/>
      <c r="L145" s="40"/>
      <c r="M145" s="17" t="s">
        <v>71</v>
      </c>
      <c r="N145" s="155"/>
      <c r="O145" s="155"/>
    </row>
    <row r="146" spans="1:15" ht="69" customHeight="1" x14ac:dyDescent="0.25">
      <c r="A146" s="9">
        <v>84</v>
      </c>
      <c r="B146" s="9">
        <v>77</v>
      </c>
      <c r="C146" s="9">
        <v>79</v>
      </c>
      <c r="D146" s="9">
        <v>72</v>
      </c>
      <c r="E146" s="296" t="s">
        <v>75</v>
      </c>
      <c r="F146" s="6">
        <v>100</v>
      </c>
      <c r="G146" s="64"/>
      <c r="H146" s="194" t="s">
        <v>361</v>
      </c>
      <c r="I146" s="196"/>
      <c r="J146" s="196"/>
      <c r="K146" s="195"/>
      <c r="L146" s="47"/>
      <c r="M146" s="17" t="s">
        <v>71</v>
      </c>
      <c r="N146" s="160"/>
      <c r="O146" s="160"/>
    </row>
    <row r="147" spans="1:15" ht="33" customHeight="1" x14ac:dyDescent="0.25">
      <c r="A147" s="9">
        <v>85</v>
      </c>
      <c r="B147" s="9">
        <v>78</v>
      </c>
      <c r="C147" s="9">
        <v>80</v>
      </c>
      <c r="D147" s="9">
        <v>73</v>
      </c>
      <c r="E147" s="296"/>
      <c r="F147" s="6">
        <v>101</v>
      </c>
      <c r="G147" s="64" t="s">
        <v>103</v>
      </c>
      <c r="H147" s="193" t="s">
        <v>362</v>
      </c>
      <c r="I147" s="188"/>
      <c r="J147" s="188"/>
      <c r="K147" s="188"/>
      <c r="L147" s="36"/>
      <c r="M147" s="76" t="s">
        <v>80</v>
      </c>
      <c r="N147" s="159"/>
      <c r="O147" s="159"/>
    </row>
    <row r="148" spans="1:15" ht="18.75" customHeight="1" x14ac:dyDescent="0.25">
      <c r="A148" s="10">
        <v>86</v>
      </c>
      <c r="B148" s="10">
        <v>79</v>
      </c>
      <c r="C148" s="10">
        <v>81</v>
      </c>
      <c r="D148" s="10">
        <v>74</v>
      </c>
      <c r="E148" s="299" t="s">
        <v>333</v>
      </c>
      <c r="F148" s="7">
        <v>102</v>
      </c>
      <c r="G148" s="64" t="s">
        <v>59</v>
      </c>
      <c r="H148" s="190" t="s">
        <v>60</v>
      </c>
      <c r="I148" s="191"/>
      <c r="J148" s="191"/>
      <c r="K148" s="192"/>
      <c r="L148" s="115" t="s">
        <v>305</v>
      </c>
      <c r="M148" s="30"/>
      <c r="N148" s="156">
        <f>IF(N77*N40=0,0,IF($L$7 ="Solve for Capacity",(N25)/(0.243*N77*N40),(N143)/(0.243*N77*N40)))</f>
        <v>0</v>
      </c>
      <c r="O148" s="156">
        <f>IF(O77*O40=0,0,IF($L$7 ="Solve for Capacity",(O25)/(0.243*O77*O40),(O143)/(0.243*O77*O40)))</f>
        <v>0</v>
      </c>
    </row>
    <row r="149" spans="1:15" ht="18.75" customHeight="1" x14ac:dyDescent="0.25">
      <c r="A149" s="9">
        <v>87</v>
      </c>
      <c r="B149" s="9">
        <v>80</v>
      </c>
      <c r="C149" s="9">
        <v>82</v>
      </c>
      <c r="D149" s="9">
        <v>75</v>
      </c>
      <c r="E149" s="300"/>
      <c r="F149" s="7">
        <v>103</v>
      </c>
      <c r="G149" s="64" t="s">
        <v>139</v>
      </c>
      <c r="H149" s="193" t="s">
        <v>61</v>
      </c>
      <c r="I149" s="188"/>
      <c r="J149" s="188"/>
      <c r="K149" s="189"/>
      <c r="L149" s="171" t="s">
        <v>139</v>
      </c>
      <c r="M149" s="18"/>
      <c r="N149" s="157">
        <f>IF((N148=0),0,EXP(-N148))</f>
        <v>0</v>
      </c>
      <c r="O149" s="157">
        <f>IF((O148=0),0,EXP(-O148))</f>
        <v>0</v>
      </c>
    </row>
    <row r="150" spans="1:15" x14ac:dyDescent="0.25">
      <c r="A150" s="9">
        <v>88</v>
      </c>
      <c r="B150" s="9">
        <v>81</v>
      </c>
      <c r="C150" s="9">
        <v>83</v>
      </c>
      <c r="D150" s="9">
        <v>76</v>
      </c>
      <c r="E150" s="300"/>
      <c r="F150" s="6">
        <v>104</v>
      </c>
      <c r="G150" s="68" t="s">
        <v>102</v>
      </c>
      <c r="H150" s="193" t="s">
        <v>62</v>
      </c>
      <c r="I150" s="188"/>
      <c r="J150" s="188"/>
      <c r="K150" s="189"/>
      <c r="L150" s="16" t="s">
        <v>307</v>
      </c>
      <c r="M150" s="18" t="s">
        <v>32</v>
      </c>
      <c r="N150" s="104">
        <f>IF(N40=0,0,IF($L$7 = "Solve for Capacity",N39 - N147/N40,N39 - N46/N40))</f>
        <v>0</v>
      </c>
      <c r="O150" s="133">
        <f>IF(O40=0,0,IF($L$7 = "Solve for Capacity",O39 - O147/O40,O39 - O46/O40))</f>
        <v>0</v>
      </c>
    </row>
    <row r="151" spans="1:15" ht="36" customHeight="1" x14ac:dyDescent="0.25">
      <c r="A151" s="9">
        <v>89</v>
      </c>
      <c r="B151" s="9">
        <v>82</v>
      </c>
      <c r="C151" s="9">
        <v>84</v>
      </c>
      <c r="D151" s="9">
        <v>77</v>
      </c>
      <c r="E151" s="300"/>
      <c r="F151" s="6">
        <v>105</v>
      </c>
      <c r="G151" s="161" t="s">
        <v>306</v>
      </c>
      <c r="H151" s="193" t="s">
        <v>63</v>
      </c>
      <c r="I151" s="188"/>
      <c r="J151" s="188"/>
      <c r="K151" s="189"/>
      <c r="L151" s="162" t="s">
        <v>308</v>
      </c>
      <c r="M151" s="18" t="s">
        <v>32</v>
      </c>
      <c r="N151" s="104">
        <f>N39 - (N39 - N150)/(1 - N149)</f>
        <v>0</v>
      </c>
      <c r="O151" s="133">
        <f>O39 - (O39 - O150)/(1 - O149)</f>
        <v>0</v>
      </c>
    </row>
    <row r="152" spans="1:15" ht="33" customHeight="1" x14ac:dyDescent="0.25">
      <c r="A152" s="9">
        <v>90</v>
      </c>
      <c r="B152" s="9">
        <v>83</v>
      </c>
      <c r="C152" s="9">
        <v>85</v>
      </c>
      <c r="D152" s="9">
        <v>78</v>
      </c>
      <c r="E152" s="300"/>
      <c r="F152" s="6">
        <v>106</v>
      </c>
      <c r="G152" s="92" t="s">
        <v>309</v>
      </c>
      <c r="H152" s="194" t="s">
        <v>310</v>
      </c>
      <c r="I152" s="196"/>
      <c r="J152" s="196"/>
      <c r="K152" s="195"/>
      <c r="L152" s="16"/>
      <c r="M152" s="30" t="s">
        <v>142</v>
      </c>
      <c r="N152" s="154"/>
      <c r="O152" s="154"/>
    </row>
    <row r="153" spans="1:15" ht="33" customHeight="1" x14ac:dyDescent="0.25">
      <c r="A153" s="9">
        <v>91</v>
      </c>
      <c r="B153" s="9">
        <v>84</v>
      </c>
      <c r="C153" s="9">
        <v>86</v>
      </c>
      <c r="D153" s="9">
        <v>79</v>
      </c>
      <c r="E153" s="300"/>
      <c r="F153" s="7">
        <v>107</v>
      </c>
      <c r="G153" s="73" t="s">
        <v>311</v>
      </c>
      <c r="H153" s="187" t="s">
        <v>64</v>
      </c>
      <c r="I153" s="187"/>
      <c r="J153" s="187"/>
      <c r="K153" s="187"/>
      <c r="L153" s="44" t="s">
        <v>312</v>
      </c>
      <c r="M153" s="30" t="s">
        <v>142</v>
      </c>
      <c r="N153" s="118">
        <f>N152+(N30-N152)*(N149)</f>
        <v>0</v>
      </c>
      <c r="O153" s="118">
        <f>O152+(O30-O152)*(O149)</f>
        <v>0</v>
      </c>
    </row>
    <row r="154" spans="1:15" ht="33" customHeight="1" x14ac:dyDescent="0.25">
      <c r="A154" s="9">
        <v>92</v>
      </c>
      <c r="B154" s="9">
        <v>85</v>
      </c>
      <c r="C154" s="9">
        <v>87</v>
      </c>
      <c r="D154" s="9"/>
      <c r="E154" s="300"/>
      <c r="F154" s="7">
        <v>108</v>
      </c>
      <c r="G154" s="73" t="s">
        <v>329</v>
      </c>
      <c r="H154" s="241" t="s">
        <v>332</v>
      </c>
      <c r="I154" s="270"/>
      <c r="J154" s="270"/>
      <c r="K154" s="242"/>
      <c r="L154" s="44" t="s">
        <v>334</v>
      </c>
      <c r="M154" s="76" t="s">
        <v>80</v>
      </c>
      <c r="N154" s="169">
        <f>0.243*N40*(N30 - N153)</f>
        <v>0</v>
      </c>
      <c r="O154" s="169">
        <f>0.243*O40*(O30 - O153)</f>
        <v>0</v>
      </c>
    </row>
    <row r="155" spans="1:15" ht="33" customHeight="1" x14ac:dyDescent="0.25">
      <c r="A155" s="9">
        <v>93</v>
      </c>
      <c r="B155" s="9">
        <v>86</v>
      </c>
      <c r="C155" s="9">
        <v>88</v>
      </c>
      <c r="D155" s="9"/>
      <c r="E155" s="301"/>
      <c r="F155" s="7">
        <v>109</v>
      </c>
      <c r="G155" s="73" t="s">
        <v>330</v>
      </c>
      <c r="H155" s="241" t="s">
        <v>331</v>
      </c>
      <c r="I155" s="270"/>
      <c r="J155" s="270"/>
      <c r="K155" s="242"/>
      <c r="L155" s="44"/>
      <c r="M155" s="30" t="s">
        <v>304</v>
      </c>
      <c r="N155" s="144">
        <f>IF(N46 = 0,0,N154/N46)</f>
        <v>0</v>
      </c>
      <c r="O155" s="144">
        <f>IF(O46 = 0,0,O154/O46)</f>
        <v>0</v>
      </c>
    </row>
    <row r="156" spans="1:15" ht="60" customHeight="1" x14ac:dyDescent="0.25">
      <c r="A156" s="9">
        <v>94</v>
      </c>
      <c r="B156" s="9">
        <v>87</v>
      </c>
      <c r="C156" s="9">
        <v>89</v>
      </c>
      <c r="D156" s="9">
        <v>80</v>
      </c>
      <c r="E156" s="296" t="s">
        <v>76</v>
      </c>
      <c r="F156" s="7">
        <v>110</v>
      </c>
      <c r="G156" s="2" t="s">
        <v>294</v>
      </c>
      <c r="H156" s="193" t="s">
        <v>369</v>
      </c>
      <c r="I156" s="188"/>
      <c r="J156" s="188"/>
      <c r="K156" s="189"/>
      <c r="L156" s="16"/>
      <c r="M156" s="3" t="s">
        <v>187</v>
      </c>
      <c r="N156" s="145"/>
      <c r="O156" s="145"/>
    </row>
    <row r="157" spans="1:15" ht="33" customHeight="1" x14ac:dyDescent="0.25">
      <c r="A157" s="10">
        <v>95</v>
      </c>
      <c r="B157" s="10">
        <v>88</v>
      </c>
      <c r="C157" s="10">
        <v>90</v>
      </c>
      <c r="D157" s="10">
        <v>81</v>
      </c>
      <c r="E157" s="296"/>
      <c r="F157" s="11">
        <v>111</v>
      </c>
      <c r="G157" s="73" t="s">
        <v>293</v>
      </c>
      <c r="H157" s="190" t="s">
        <v>65</v>
      </c>
      <c r="I157" s="191"/>
      <c r="J157" s="191"/>
      <c r="K157" s="192"/>
      <c r="L157" s="97" t="s">
        <v>292</v>
      </c>
      <c r="M157" s="35" t="s">
        <v>71</v>
      </c>
      <c r="N157" s="144">
        <f>IF(N36=0,0,(460+0.5*(N30+N153))/(17.71*N36))</f>
        <v>0</v>
      </c>
      <c r="O157" s="144">
        <f>IF(O36=0,0,(460+0.5*(O30+O153))/(17.71*O36))</f>
        <v>0</v>
      </c>
    </row>
    <row r="158" spans="1:15" ht="33" customHeight="1" x14ac:dyDescent="0.25">
      <c r="A158" s="9">
        <v>96</v>
      </c>
      <c r="B158" s="9">
        <v>89</v>
      </c>
      <c r="C158" s="9">
        <v>91</v>
      </c>
      <c r="D158" s="9">
        <v>82</v>
      </c>
      <c r="E158" s="296"/>
      <c r="F158" s="7">
        <v>112</v>
      </c>
      <c r="G158" s="2" t="s">
        <v>140</v>
      </c>
      <c r="H158" s="193" t="s">
        <v>170</v>
      </c>
      <c r="I158" s="188"/>
      <c r="J158" s="188"/>
      <c r="K158" s="189"/>
      <c r="L158" s="137" t="s">
        <v>295</v>
      </c>
      <c r="M158" s="18" t="s">
        <v>186</v>
      </c>
      <c r="N158" s="144">
        <f>IF($L$7="Solve for Capacity",N156*N157*N17,N156*N157*N145)</f>
        <v>0</v>
      </c>
      <c r="O158" s="144">
        <f>IF($L$7="Solve for Capacity",O156*O157*O17,O156*O157*O145)</f>
        <v>0</v>
      </c>
    </row>
    <row r="159" spans="1:15" ht="33" customHeight="1" x14ac:dyDescent="0.25">
      <c r="A159" s="9">
        <v>97</v>
      </c>
      <c r="B159" s="9">
        <v>90</v>
      </c>
      <c r="C159" s="8" t="s">
        <v>71</v>
      </c>
      <c r="D159" s="8" t="s">
        <v>71</v>
      </c>
      <c r="E159" s="296" t="s">
        <v>77</v>
      </c>
      <c r="F159" s="7">
        <v>113</v>
      </c>
      <c r="G159" s="64"/>
      <c r="H159" s="193" t="s">
        <v>370</v>
      </c>
      <c r="I159" s="188"/>
      <c r="J159" s="188"/>
      <c r="K159" s="189"/>
      <c r="L159" s="36"/>
      <c r="M159" s="18" t="s">
        <v>144</v>
      </c>
      <c r="N159" s="145"/>
      <c r="O159" s="145"/>
    </row>
    <row r="160" spans="1:15" ht="47.25" customHeight="1" x14ac:dyDescent="0.25">
      <c r="A160" s="9">
        <v>98</v>
      </c>
      <c r="B160" s="9">
        <v>91</v>
      </c>
      <c r="C160" s="8" t="s">
        <v>71</v>
      </c>
      <c r="D160" s="8" t="s">
        <v>71</v>
      </c>
      <c r="E160" s="297"/>
      <c r="F160" s="7">
        <v>114</v>
      </c>
      <c r="G160" s="2" t="s">
        <v>291</v>
      </c>
      <c r="H160" s="187" t="s">
        <v>371</v>
      </c>
      <c r="I160" s="187"/>
      <c r="J160" s="187"/>
      <c r="K160" s="187"/>
      <c r="L160" s="36"/>
      <c r="M160" s="3" t="s">
        <v>145</v>
      </c>
      <c r="N160" s="145"/>
      <c r="O160" s="145"/>
    </row>
    <row r="161" spans="1:15" ht="33" customHeight="1" x14ac:dyDescent="0.25">
      <c r="A161" s="9">
        <v>99</v>
      </c>
      <c r="B161" s="9">
        <v>92</v>
      </c>
      <c r="C161" s="8" t="s">
        <v>71</v>
      </c>
      <c r="D161" s="8" t="s">
        <v>71</v>
      </c>
      <c r="E161" s="297"/>
      <c r="F161" s="7">
        <v>117</v>
      </c>
      <c r="G161" s="2" t="s">
        <v>296</v>
      </c>
      <c r="H161" s="187" t="s">
        <v>66</v>
      </c>
      <c r="I161" s="187"/>
      <c r="J161" s="187"/>
      <c r="K161" s="187"/>
      <c r="L161" s="16" t="s">
        <v>298</v>
      </c>
      <c r="M161" s="30" t="s">
        <v>145</v>
      </c>
      <c r="N161" s="118">
        <f>IF(N19=0,0,IF($L$7 = "Solve for Capacity",((N160*#REF!) + (N27*N159*#REF!)),((N160*#REF!) + (N159*#REF!*(1/12*(N145*(N22+N24)*(N18/N19) -N24))))))</f>
        <v>0</v>
      </c>
      <c r="O161" s="118">
        <f>IF(O19=0,0,IF($L$7 = "Solve for Capacity",((O160*#REF!) + (O27*O159*#REF!)),((O160*#REF!) + (O159*#REF!*(1/12*(O145*(O22+O24)*(O18/O19) -O24))))))</f>
        <v>0</v>
      </c>
    </row>
    <row r="162" spans="1:15" ht="18" customHeight="1" x14ac:dyDescent="0.25">
      <c r="A162" s="8" t="s">
        <v>71</v>
      </c>
      <c r="B162" s="8" t="s">
        <v>71</v>
      </c>
      <c r="C162" s="9">
        <v>92</v>
      </c>
      <c r="D162" s="9">
        <v>83</v>
      </c>
      <c r="E162" s="297"/>
      <c r="F162" s="7">
        <v>118</v>
      </c>
      <c r="G162" s="2" t="s">
        <v>297</v>
      </c>
      <c r="H162" s="187" t="s">
        <v>68</v>
      </c>
      <c r="I162" s="187"/>
      <c r="J162" s="187"/>
      <c r="K162" s="187"/>
      <c r="L162" s="44" t="s">
        <v>300</v>
      </c>
      <c r="M162" s="30" t="s">
        <v>67</v>
      </c>
      <c r="N162" s="118">
        <f>(N51*(N54*N27 + N55))</f>
        <v>0</v>
      </c>
      <c r="O162" s="118">
        <f>(O51*(O54*O27 + O55))</f>
        <v>0</v>
      </c>
    </row>
    <row r="164" spans="1:15" x14ac:dyDescent="0.25">
      <c r="A164" s="180" t="s">
        <v>354</v>
      </c>
    </row>
  </sheetData>
  <mergeCells count="182">
    <mergeCell ref="O87:O89"/>
    <mergeCell ref="I84:K84"/>
    <mergeCell ref="I85:K85"/>
    <mergeCell ref="N87:N89"/>
    <mergeCell ref="H71:K71"/>
    <mergeCell ref="A1:O2"/>
    <mergeCell ref="H73:K73"/>
    <mergeCell ref="H75:K75"/>
    <mergeCell ref="H76:K76"/>
    <mergeCell ref="L7:N7"/>
    <mergeCell ref="E13:E24"/>
    <mergeCell ref="H30:K30"/>
    <mergeCell ref="H32:K32"/>
    <mergeCell ref="H33:K33"/>
    <mergeCell ref="H36:K36"/>
    <mergeCell ref="H46:K46"/>
    <mergeCell ref="H39:K39"/>
    <mergeCell ref="H21:K21"/>
    <mergeCell ref="H26:K26"/>
    <mergeCell ref="M9:M12"/>
    <mergeCell ref="H20:K20"/>
    <mergeCell ref="H25:K25"/>
    <mergeCell ref="H22:K22"/>
    <mergeCell ref="H87:K87"/>
    <mergeCell ref="E25:E76"/>
    <mergeCell ref="E77:E143"/>
    <mergeCell ref="H61:K61"/>
    <mergeCell ref="H67:K67"/>
    <mergeCell ref="H62:K62"/>
    <mergeCell ref="H69:K69"/>
    <mergeCell ref="H72:K72"/>
    <mergeCell ref="H74:K74"/>
    <mergeCell ref="J111:K111"/>
    <mergeCell ref="H111:I114"/>
    <mergeCell ref="H31:K31"/>
    <mergeCell ref="H34:K34"/>
    <mergeCell ref="H35:K35"/>
    <mergeCell ref="H37:K37"/>
    <mergeCell ref="H38:K38"/>
    <mergeCell ref="H40:K40"/>
    <mergeCell ref="H41:K41"/>
    <mergeCell ref="H42:K42"/>
    <mergeCell ref="H78:K78"/>
    <mergeCell ref="H135:L135"/>
    <mergeCell ref="L87:L89"/>
    <mergeCell ref="J114:K114"/>
    <mergeCell ref="H115:K115"/>
    <mergeCell ref="J128:K128"/>
    <mergeCell ref="E159:E162"/>
    <mergeCell ref="H91:K91"/>
    <mergeCell ref="H96:K96"/>
    <mergeCell ref="H100:K100"/>
    <mergeCell ref="H104:K104"/>
    <mergeCell ref="H105:K105"/>
    <mergeCell ref="H106:K106"/>
    <mergeCell ref="H123:K123"/>
    <mergeCell ref="H124:K124"/>
    <mergeCell ref="H110:K110"/>
    <mergeCell ref="H109:K109"/>
    <mergeCell ref="E156:E158"/>
    <mergeCell ref="H147:K147"/>
    <mergeCell ref="H153:K153"/>
    <mergeCell ref="H149:K149"/>
    <mergeCell ref="H159:K159"/>
    <mergeCell ref="H119:K119"/>
    <mergeCell ref="H155:K155"/>
    <mergeCell ref="H154:K154"/>
    <mergeCell ref="E148:E155"/>
    <mergeCell ref="J127:K127"/>
    <mergeCell ref="H126:I128"/>
    <mergeCell ref="H107:K107"/>
    <mergeCell ref="E146:E147"/>
    <mergeCell ref="H160:K160"/>
    <mergeCell ref="H151:K151"/>
    <mergeCell ref="H152:K152"/>
    <mergeCell ref="H122:K122"/>
    <mergeCell ref="H120:K120"/>
    <mergeCell ref="H52:K52"/>
    <mergeCell ref="H53:K53"/>
    <mergeCell ref="H47:K47"/>
    <mergeCell ref="H48:K48"/>
    <mergeCell ref="H49:K49"/>
    <mergeCell ref="H50:K50"/>
    <mergeCell ref="H51:K51"/>
    <mergeCell ref="H59:K59"/>
    <mergeCell ref="I81:K81"/>
    <mergeCell ref="H86:K86"/>
    <mergeCell ref="H88:K88"/>
    <mergeCell ref="H89:K89"/>
    <mergeCell ref="H79:K79"/>
    <mergeCell ref="H80:K80"/>
    <mergeCell ref="H83:K83"/>
    <mergeCell ref="H90:K90"/>
    <mergeCell ref="H145:K145"/>
    <mergeCell ref="H136:L136"/>
    <mergeCell ref="H144:K144"/>
    <mergeCell ref="I82:K82"/>
    <mergeCell ref="H156:K156"/>
    <mergeCell ref="H148:K148"/>
    <mergeCell ref="H54:K54"/>
    <mergeCell ref="H55:K55"/>
    <mergeCell ref="H108:K108"/>
    <mergeCell ref="H146:K146"/>
    <mergeCell ref="H97:I99"/>
    <mergeCell ref="J99:K99"/>
    <mergeCell ref="J95:K95"/>
    <mergeCell ref="J101:K101"/>
    <mergeCell ref="J102:K102"/>
    <mergeCell ref="J103:K103"/>
    <mergeCell ref="H101:I103"/>
    <mergeCell ref="H150:K150"/>
    <mergeCell ref="H134:K134"/>
    <mergeCell ref="H16:K16"/>
    <mergeCell ref="H17:K17"/>
    <mergeCell ref="H18:K18"/>
    <mergeCell ref="H19:K19"/>
    <mergeCell ref="H13:K13"/>
    <mergeCell ref="H14:K14"/>
    <mergeCell ref="H15:K15"/>
    <mergeCell ref="H60:K60"/>
    <mergeCell ref="H24:K24"/>
    <mergeCell ref="H43:K43"/>
    <mergeCell ref="H44:K44"/>
    <mergeCell ref="H45:K45"/>
    <mergeCell ref="H9:K12"/>
    <mergeCell ref="L9:L12"/>
    <mergeCell ref="H7:K7"/>
    <mergeCell ref="L8:N8"/>
    <mergeCell ref="N9:O12"/>
    <mergeCell ref="C9:D10"/>
    <mergeCell ref="A11:A12"/>
    <mergeCell ref="E8:K8"/>
    <mergeCell ref="B11:B12"/>
    <mergeCell ref="C11:C12"/>
    <mergeCell ref="A4:I4"/>
    <mergeCell ref="K4:N4"/>
    <mergeCell ref="E6:I6"/>
    <mergeCell ref="A9:B10"/>
    <mergeCell ref="H77:K77"/>
    <mergeCell ref="H125:K125"/>
    <mergeCell ref="J126:K126"/>
    <mergeCell ref="H129:K129"/>
    <mergeCell ref="H133:K133"/>
    <mergeCell ref="L6:N6"/>
    <mergeCell ref="F74:F76"/>
    <mergeCell ref="D11:D12"/>
    <mergeCell ref="H27:K27"/>
    <mergeCell ref="H28:K28"/>
    <mergeCell ref="H29:K29"/>
    <mergeCell ref="H56:K56"/>
    <mergeCell ref="H57:K57"/>
    <mergeCell ref="H58:K58"/>
    <mergeCell ref="A6:D8"/>
    <mergeCell ref="E9:E12"/>
    <mergeCell ref="F9:F12"/>
    <mergeCell ref="J92:K92"/>
    <mergeCell ref="H92:I95"/>
    <mergeCell ref="G9:G12"/>
    <mergeCell ref="H162:K162"/>
    <mergeCell ref="J140:K140"/>
    <mergeCell ref="H142:K142"/>
    <mergeCell ref="J93:K93"/>
    <mergeCell ref="J94:K94"/>
    <mergeCell ref="J97:K97"/>
    <mergeCell ref="J98:K98"/>
    <mergeCell ref="H137:K137"/>
    <mergeCell ref="H138:K138"/>
    <mergeCell ref="H139:K139"/>
    <mergeCell ref="J141:K141"/>
    <mergeCell ref="H143:K143"/>
    <mergeCell ref="J112:K112"/>
    <mergeCell ref="J113:K113"/>
    <mergeCell ref="H157:K157"/>
    <mergeCell ref="H116:K116"/>
    <mergeCell ref="H117:K117"/>
    <mergeCell ref="H118:K118"/>
    <mergeCell ref="J132:K132"/>
    <mergeCell ref="J131:K131"/>
    <mergeCell ref="J130:K130"/>
    <mergeCell ref="H130:I132"/>
    <mergeCell ref="H161:K161"/>
    <mergeCell ref="H158:K158"/>
  </mergeCells>
  <dataValidations count="3">
    <dataValidation type="list" allowBlank="1" showInputMessage="1" showErrorMessage="1" sqref="L6:N6" xr:uid="{00000000-0002-0000-0000-000000000000}">
      <formula1>"Choose Coil Type, Cold Water, Volatile Refrigerant (Thermal Counterflow), Volatile Refrigerant (Thermal Parallel Flow)"</formula1>
    </dataValidation>
    <dataValidation type="list" allowBlank="1" showInputMessage="1" showErrorMessage="1" sqref="L7:N7" xr:uid="{00000000-0002-0000-0000-000001000000}">
      <formula1>"Choose Calculation Method, Solve for Capacity, Solve for Rows"</formula1>
    </dataValidation>
    <dataValidation type="list" allowBlank="1" showInputMessage="1" showErrorMessage="1" sqref="L8:N8" xr:uid="{00000000-0002-0000-0000-000002000000}">
      <formula1>"Choose Surface Condition, Partially Wet Surface, Fully Wet Surface"</formula1>
    </dataValidation>
  </dataValidations>
  <pageMargins left="0.25" right="0.25" top="0.75" bottom="0.5" header="0.3" footer="0.3"/>
  <pageSetup orientation="landscape" r:id="rId1"/>
  <headerFooter>
    <oddFooter>&amp;LPage &amp;P of &amp;N&amp;RForm 410-6 (IP Units)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410-6 IP 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jfaragalli</dc:creator>
  <cp:lastModifiedBy>Hamamcioglu, Sarp</cp:lastModifiedBy>
  <cp:lastPrinted>2012-07-06T17:29:27Z</cp:lastPrinted>
  <dcterms:created xsi:type="dcterms:W3CDTF">2011-06-28T13:48:48Z</dcterms:created>
  <dcterms:modified xsi:type="dcterms:W3CDTF">2023-04-20T15:18:00Z</dcterms:modified>
</cp:coreProperties>
</file>